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van Padmarao\Desktop\"/>
    </mc:Choice>
  </mc:AlternateContent>
  <xr:revisionPtr revIDLastSave="0" documentId="13_ncr:1_{1188C088-83D0-420B-83E9-67D40B4957B7}" xr6:coauthVersionLast="47" xr6:coauthVersionMax="47" xr10:uidLastSave="{00000000-0000-0000-0000-000000000000}"/>
  <bookViews>
    <workbookView xWindow="-110" yWindow="-110" windowWidth="19420" windowHeight="10420" tabRatio="734" xr2:uid="{A39BB0A5-C6AA-4754-8B10-6EDD9DA83B74}"/>
  </bookViews>
  <sheets>
    <sheet name="PSV Outlet DP" sheetId="33" r:id="rId1"/>
    <sheet name="PSV Sizing-HEM Direct Int Meth" sheetId="36" r:id="rId2"/>
    <sheet name="Orifice Sizes" sheetId="30" r:id="rId3"/>
  </sheets>
  <definedNames>
    <definedName name="A0" localSheetId="0">#REF!</definedName>
    <definedName name="A0">#REF!</definedName>
    <definedName name="_xlnm.Print_Area" localSheetId="0">'PSV Outlet DP'!$A$1:$AB$231</definedName>
    <definedName name="_xlnm.Print_Area" localSheetId="1">'PSV Sizing-HEM Direct Int Meth'!$A$1:$T$197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3" l="1"/>
  <c r="E20" i="33" s="1"/>
  <c r="K63" i="36"/>
  <c r="K64" i="36"/>
  <c r="K65" i="36"/>
  <c r="K66" i="36"/>
  <c r="K67" i="36"/>
  <c r="K68" i="36"/>
  <c r="K69" i="36"/>
  <c r="K70" i="36"/>
  <c r="K71" i="36"/>
  <c r="K72" i="36"/>
  <c r="K73" i="36"/>
  <c r="K74" i="36"/>
  <c r="K75" i="36"/>
  <c r="K76" i="36"/>
  <c r="K77" i="36"/>
  <c r="K78" i="36"/>
  <c r="K79" i="36"/>
  <c r="K80" i="36"/>
  <c r="K81" i="36"/>
  <c r="K82" i="36"/>
  <c r="K83" i="36"/>
  <c r="K84" i="36"/>
  <c r="K85" i="36"/>
  <c r="K86" i="36"/>
  <c r="K87" i="36"/>
  <c r="K88" i="36"/>
  <c r="K89" i="36"/>
  <c r="K90" i="36"/>
  <c r="K91" i="36"/>
  <c r="K92" i="36"/>
  <c r="K93" i="36"/>
  <c r="K94" i="36"/>
  <c r="K95" i="36"/>
  <c r="K96" i="36"/>
  <c r="K97" i="36"/>
  <c r="K98" i="36"/>
  <c r="K99" i="36"/>
  <c r="K100" i="36"/>
  <c r="K101" i="36"/>
  <c r="K102" i="36"/>
  <c r="K103" i="36"/>
  <c r="K104" i="36"/>
  <c r="K105" i="36"/>
  <c r="K106" i="36"/>
  <c r="K107" i="36"/>
  <c r="K108" i="36"/>
  <c r="K109" i="36"/>
  <c r="K110" i="36"/>
  <c r="K111" i="36"/>
  <c r="K112" i="36"/>
  <c r="K113" i="36"/>
  <c r="K114" i="36"/>
  <c r="K115" i="36"/>
  <c r="K116" i="36"/>
  <c r="K117" i="36"/>
  <c r="K118" i="36"/>
  <c r="K119" i="36"/>
  <c r="K120" i="36"/>
  <c r="K121" i="36"/>
  <c r="K122" i="36"/>
  <c r="K123" i="36"/>
  <c r="K124" i="36"/>
  <c r="K125" i="36"/>
  <c r="K126" i="36"/>
  <c r="K62" i="36"/>
  <c r="K61" i="36"/>
  <c r="I62" i="36"/>
  <c r="I63" i="36"/>
  <c r="I64" i="36"/>
  <c r="I65" i="36"/>
  <c r="I66" i="36"/>
  <c r="I67" i="36"/>
  <c r="I68" i="36"/>
  <c r="I69" i="36"/>
  <c r="I70" i="36"/>
  <c r="I71" i="36"/>
  <c r="I72" i="36"/>
  <c r="I73" i="36"/>
  <c r="I74" i="36"/>
  <c r="I75" i="36"/>
  <c r="I76" i="36"/>
  <c r="I77" i="36"/>
  <c r="I78" i="36"/>
  <c r="I79" i="36"/>
  <c r="I80" i="36"/>
  <c r="I81" i="36"/>
  <c r="I82" i="36"/>
  <c r="I83" i="36"/>
  <c r="I84" i="36"/>
  <c r="I85" i="36"/>
  <c r="I86" i="36"/>
  <c r="I87" i="36"/>
  <c r="I88" i="36"/>
  <c r="I89" i="36"/>
  <c r="I90" i="36"/>
  <c r="I91" i="36"/>
  <c r="I92" i="36"/>
  <c r="I93" i="36"/>
  <c r="I94" i="36"/>
  <c r="I95" i="36"/>
  <c r="I96" i="36"/>
  <c r="I97" i="36"/>
  <c r="I98" i="36"/>
  <c r="I99" i="36"/>
  <c r="I100" i="36"/>
  <c r="I101" i="36"/>
  <c r="I102" i="36"/>
  <c r="I103" i="36"/>
  <c r="I104" i="36"/>
  <c r="I105" i="36"/>
  <c r="I106" i="36"/>
  <c r="I107" i="36"/>
  <c r="I108" i="36"/>
  <c r="I109" i="36"/>
  <c r="I110" i="36"/>
  <c r="I111" i="36"/>
  <c r="I112" i="36"/>
  <c r="I113" i="36"/>
  <c r="I114" i="36"/>
  <c r="I115" i="36"/>
  <c r="I116" i="36"/>
  <c r="I117" i="36"/>
  <c r="I118" i="36"/>
  <c r="I119" i="36"/>
  <c r="I120" i="36"/>
  <c r="I121" i="36"/>
  <c r="I122" i="36"/>
  <c r="I123" i="36"/>
  <c r="I124" i="36"/>
  <c r="I125" i="36"/>
  <c r="I126" i="36"/>
  <c r="I61" i="36"/>
  <c r="J62" i="36"/>
  <c r="J63" i="36"/>
  <c r="J64" i="36"/>
  <c r="J65" i="36"/>
  <c r="J66" i="36"/>
  <c r="J67" i="36"/>
  <c r="J68" i="36"/>
  <c r="J69" i="36"/>
  <c r="J70" i="36"/>
  <c r="J71" i="36"/>
  <c r="J72" i="36"/>
  <c r="J73" i="36"/>
  <c r="J74" i="36"/>
  <c r="J75" i="36"/>
  <c r="J76" i="36"/>
  <c r="J77" i="36"/>
  <c r="J78" i="36"/>
  <c r="J79" i="36"/>
  <c r="J80" i="36"/>
  <c r="J81" i="36"/>
  <c r="J82" i="36"/>
  <c r="J83" i="36"/>
  <c r="J84" i="36"/>
  <c r="J85" i="36"/>
  <c r="J86" i="36"/>
  <c r="J87" i="36"/>
  <c r="J88" i="36"/>
  <c r="J89" i="36"/>
  <c r="J90" i="36"/>
  <c r="J91" i="36"/>
  <c r="J92" i="36"/>
  <c r="J93" i="36"/>
  <c r="J94" i="36"/>
  <c r="J95" i="36"/>
  <c r="J96" i="36"/>
  <c r="J97" i="36"/>
  <c r="J98" i="36"/>
  <c r="J99" i="36"/>
  <c r="J100" i="36"/>
  <c r="J101" i="36"/>
  <c r="J102" i="36"/>
  <c r="J103" i="36"/>
  <c r="J104" i="36"/>
  <c r="J105" i="36"/>
  <c r="J106" i="36"/>
  <c r="J107" i="36"/>
  <c r="J108" i="36"/>
  <c r="J109" i="36"/>
  <c r="J110" i="36"/>
  <c r="J111" i="36"/>
  <c r="J112" i="36"/>
  <c r="J113" i="36"/>
  <c r="J114" i="36"/>
  <c r="J115" i="36"/>
  <c r="J116" i="36"/>
  <c r="J117" i="36"/>
  <c r="J118" i="36"/>
  <c r="J119" i="36"/>
  <c r="J120" i="36"/>
  <c r="J121" i="36"/>
  <c r="J122" i="36"/>
  <c r="J123" i="36"/>
  <c r="J124" i="36"/>
  <c r="J125" i="36"/>
  <c r="J126" i="36"/>
  <c r="J61" i="36"/>
  <c r="D149" i="36"/>
  <c r="H162" i="36" s="1"/>
  <c r="H163" i="36" s="1"/>
  <c r="E63" i="33"/>
  <c r="E66" i="33" s="1"/>
  <c r="E76" i="33" s="1"/>
  <c r="E60" i="33"/>
  <c r="E61" i="33" s="1"/>
  <c r="E46" i="33"/>
  <c r="E75" i="33" s="1"/>
  <c r="E97" i="33" s="1"/>
  <c r="E40" i="33"/>
  <c r="E41" i="33" s="1"/>
  <c r="D180" i="36"/>
  <c r="D179" i="36"/>
  <c r="D177" i="36"/>
  <c r="D178" i="36"/>
  <c r="D176" i="36"/>
  <c r="C4" i="36"/>
  <c r="E167" i="36"/>
  <c r="F164" i="36"/>
  <c r="E164" i="36"/>
  <c r="D164" i="36"/>
  <c r="D162" i="36"/>
  <c r="D175" i="36" s="1"/>
  <c r="F141" i="36"/>
  <c r="P141" i="36" s="1"/>
  <c r="Q141" i="36" s="1"/>
  <c r="I141" i="36"/>
  <c r="F140" i="36"/>
  <c r="P140" i="36" s="1"/>
  <c r="I140" i="36"/>
  <c r="F139" i="36"/>
  <c r="P139" i="36" s="1"/>
  <c r="I139" i="36"/>
  <c r="F138" i="36"/>
  <c r="P138" i="36" s="1"/>
  <c r="I138" i="36"/>
  <c r="F137" i="36"/>
  <c r="P137" i="36" s="1"/>
  <c r="I137" i="36"/>
  <c r="F136" i="36"/>
  <c r="P136" i="36" s="1"/>
  <c r="Q136" i="36" s="1"/>
  <c r="I136" i="36"/>
  <c r="F135" i="36"/>
  <c r="P135" i="36" s="1"/>
  <c r="I135" i="36"/>
  <c r="F134" i="36"/>
  <c r="P134" i="36" s="1"/>
  <c r="Q134" i="36" s="1"/>
  <c r="I134" i="36"/>
  <c r="F133" i="36"/>
  <c r="P133" i="36" s="1"/>
  <c r="Q133" i="36" s="1"/>
  <c r="I133" i="36"/>
  <c r="F132" i="36"/>
  <c r="P132" i="36" s="1"/>
  <c r="I132" i="36"/>
  <c r="F131" i="36"/>
  <c r="P131" i="36" s="1"/>
  <c r="Q132" i="36" s="1"/>
  <c r="I131" i="36"/>
  <c r="F130" i="36"/>
  <c r="P130" i="36" s="1"/>
  <c r="I130" i="36"/>
  <c r="F129" i="36"/>
  <c r="P129" i="36" s="1"/>
  <c r="I129" i="36"/>
  <c r="F128" i="36"/>
  <c r="P128" i="36" s="1"/>
  <c r="J128" i="36"/>
  <c r="J129" i="36" s="1"/>
  <c r="J130" i="36" s="1"/>
  <c r="J131" i="36" s="1"/>
  <c r="J132" i="36" s="1"/>
  <c r="J133" i="36" s="1"/>
  <c r="J134" i="36" s="1"/>
  <c r="J135" i="36" s="1"/>
  <c r="J136" i="36" s="1"/>
  <c r="J137" i="36" s="1"/>
  <c r="J138" i="36" s="1"/>
  <c r="J139" i="36" s="1"/>
  <c r="J140" i="36" s="1"/>
  <c r="I128" i="36"/>
  <c r="K128" i="36" s="1"/>
  <c r="F127" i="36"/>
  <c r="P127" i="36" s="1"/>
  <c r="D8" i="36"/>
  <c r="C61" i="36" s="1"/>
  <c r="C62" i="36" s="1"/>
  <c r="P116" i="36"/>
  <c r="P117" i="36"/>
  <c r="P118" i="36"/>
  <c r="P119" i="36"/>
  <c r="P120" i="36"/>
  <c r="P121" i="36"/>
  <c r="P122" i="36"/>
  <c r="P123" i="36"/>
  <c r="P124" i="36"/>
  <c r="P125" i="36"/>
  <c r="P126" i="36"/>
  <c r="I127" i="36"/>
  <c r="K127" i="36" s="1"/>
  <c r="P110" i="36"/>
  <c r="P111" i="36"/>
  <c r="P112" i="36"/>
  <c r="P113" i="36"/>
  <c r="P114" i="36"/>
  <c r="P115" i="36"/>
  <c r="P103" i="36"/>
  <c r="P104" i="36"/>
  <c r="P105" i="36"/>
  <c r="P106" i="36"/>
  <c r="P107" i="36"/>
  <c r="P108" i="36"/>
  <c r="P109" i="36"/>
  <c r="P88" i="36"/>
  <c r="P89" i="36"/>
  <c r="P90" i="36"/>
  <c r="P91" i="36"/>
  <c r="P92" i="36"/>
  <c r="P93" i="36"/>
  <c r="P94" i="36"/>
  <c r="P95" i="36"/>
  <c r="P96" i="36"/>
  <c r="P97" i="36"/>
  <c r="P98" i="36"/>
  <c r="P99" i="36"/>
  <c r="P100" i="36"/>
  <c r="P101" i="36"/>
  <c r="P102" i="36"/>
  <c r="P80" i="36"/>
  <c r="P81" i="36"/>
  <c r="P82" i="36"/>
  <c r="P83" i="36"/>
  <c r="P84" i="36"/>
  <c r="P85" i="36"/>
  <c r="P86" i="36"/>
  <c r="P87" i="36"/>
  <c r="P66" i="36"/>
  <c r="P67" i="36"/>
  <c r="P68" i="36"/>
  <c r="P69" i="36"/>
  <c r="P70" i="36"/>
  <c r="P71" i="36"/>
  <c r="P72" i="36"/>
  <c r="P73" i="36"/>
  <c r="P74" i="36"/>
  <c r="P75" i="36"/>
  <c r="P76" i="36"/>
  <c r="P77" i="36"/>
  <c r="P78" i="36"/>
  <c r="P79" i="36"/>
  <c r="P65" i="36"/>
  <c r="P64" i="36"/>
  <c r="P63" i="36"/>
  <c r="P62" i="36"/>
  <c r="B62" i="36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B114" i="36" s="1"/>
  <c r="B115" i="36" s="1"/>
  <c r="B116" i="36" s="1"/>
  <c r="B117" i="36" s="1"/>
  <c r="B118" i="36" s="1"/>
  <c r="B119" i="36" s="1"/>
  <c r="B120" i="36" s="1"/>
  <c r="B121" i="36" s="1"/>
  <c r="B122" i="36" s="1"/>
  <c r="B123" i="36" s="1"/>
  <c r="B124" i="36" s="1"/>
  <c r="B125" i="36" s="1"/>
  <c r="B126" i="36" s="1"/>
  <c r="B127" i="36" s="1"/>
  <c r="B128" i="36" s="1"/>
  <c r="B129" i="36" s="1"/>
  <c r="B130" i="36" s="1"/>
  <c r="B131" i="36" s="1"/>
  <c r="B132" i="36" s="1"/>
  <c r="B133" i="36" s="1"/>
  <c r="B134" i="36" s="1"/>
  <c r="B135" i="36" s="1"/>
  <c r="B136" i="36" s="1"/>
  <c r="B137" i="36" s="1"/>
  <c r="B138" i="36" s="1"/>
  <c r="B139" i="36" s="1"/>
  <c r="B140" i="36" s="1"/>
  <c r="B141" i="36" s="1"/>
  <c r="P61" i="36"/>
  <c r="G116" i="33"/>
  <c r="Q49" i="33"/>
  <c r="Q50" i="33"/>
  <c r="Q51" i="33"/>
  <c r="Q52" i="33"/>
  <c r="Q53" i="33"/>
  <c r="Q54" i="33"/>
  <c r="Q55" i="33"/>
  <c r="Q56" i="33"/>
  <c r="E112" i="33" s="1"/>
  <c r="F117" i="33" s="1"/>
  <c r="Q57" i="33"/>
  <c r="Q58" i="33"/>
  <c r="Q59" i="33"/>
  <c r="Q60" i="33"/>
  <c r="Q61" i="33"/>
  <c r="Q62" i="33"/>
  <c r="Q63" i="33"/>
  <c r="Q64" i="33"/>
  <c r="Q65" i="33"/>
  <c r="Q66" i="33"/>
  <c r="Q67" i="33"/>
  <c r="Q68" i="33"/>
  <c r="Q69" i="33"/>
  <c r="Q70" i="33"/>
  <c r="Q48" i="33"/>
  <c r="E102" i="33"/>
  <c r="D182" i="36" l="1"/>
  <c r="E11" i="33" s="1"/>
  <c r="H164" i="36"/>
  <c r="H165" i="36" s="1"/>
  <c r="E130" i="33"/>
  <c r="Q139" i="36"/>
  <c r="Q138" i="36"/>
  <c r="Q140" i="36"/>
  <c r="Q130" i="36"/>
  <c r="Q135" i="36"/>
  <c r="Q127" i="36"/>
  <c r="K140" i="36"/>
  <c r="J141" i="36"/>
  <c r="K141" i="36" s="1"/>
  <c r="Q128" i="36"/>
  <c r="Q129" i="36"/>
  <c r="K137" i="36"/>
  <c r="Q131" i="36"/>
  <c r="Q137" i="36"/>
  <c r="K135" i="36"/>
  <c r="K129" i="36"/>
  <c r="K130" i="36"/>
  <c r="K136" i="36"/>
  <c r="K139" i="36"/>
  <c r="K138" i="36"/>
  <c r="K134" i="36"/>
  <c r="K133" i="36"/>
  <c r="K132" i="36"/>
  <c r="K131" i="36"/>
  <c r="Q76" i="36"/>
  <c r="Q86" i="36"/>
  <c r="Q97" i="36"/>
  <c r="Q107" i="36"/>
  <c r="Q116" i="36"/>
  <c r="Q123" i="36"/>
  <c r="Q121" i="36"/>
  <c r="Q125" i="36"/>
  <c r="Q119" i="36"/>
  <c r="Q126" i="36"/>
  <c r="Q120" i="36"/>
  <c r="Q124" i="36"/>
  <c r="Q118" i="36"/>
  <c r="Q122" i="36"/>
  <c r="Q117" i="36"/>
  <c r="Q74" i="36"/>
  <c r="Q84" i="36"/>
  <c r="Q105" i="36"/>
  <c r="Q68" i="36"/>
  <c r="Q72" i="36"/>
  <c r="Q82" i="36"/>
  <c r="Q70" i="36"/>
  <c r="Q77" i="36"/>
  <c r="Q75" i="36"/>
  <c r="Q65" i="36"/>
  <c r="Q69" i="36"/>
  <c r="Q90" i="36"/>
  <c r="Q73" i="36"/>
  <c r="Q104" i="36"/>
  <c r="Q71" i="36"/>
  <c r="Q81" i="36"/>
  <c r="Q115" i="36"/>
  <c r="Q67" i="36"/>
  <c r="Q109" i="36"/>
  <c r="Q95" i="36"/>
  <c r="Q93" i="36"/>
  <c r="Q103" i="36"/>
  <c r="Q87" i="36"/>
  <c r="Q100" i="36"/>
  <c r="Q88" i="36"/>
  <c r="Q99" i="36"/>
  <c r="Q112" i="36"/>
  <c r="Q80" i="36"/>
  <c r="Q110" i="36"/>
  <c r="Q79" i="36"/>
  <c r="Q66" i="36"/>
  <c r="Q96" i="36"/>
  <c r="Q98" i="36"/>
  <c r="Q92" i="36"/>
  <c r="Q78" i="36"/>
  <c r="Q64" i="36"/>
  <c r="Q102" i="36"/>
  <c r="Q111" i="36"/>
  <c r="Q63" i="36"/>
  <c r="Q108" i="36"/>
  <c r="Q62" i="36"/>
  <c r="R62" i="36" s="1"/>
  <c r="S62" i="36" s="1"/>
  <c r="T62" i="36" s="1"/>
  <c r="Q91" i="36"/>
  <c r="Q85" i="36"/>
  <c r="Q94" i="36"/>
  <c r="Q113" i="36"/>
  <c r="Q114" i="36"/>
  <c r="Q106" i="36"/>
  <c r="Q101" i="36"/>
  <c r="Q89" i="36"/>
  <c r="Q83" i="36"/>
  <c r="C63" i="36"/>
  <c r="E125" i="33"/>
  <c r="G117" i="33"/>
  <c r="G118" i="33" s="1"/>
  <c r="E22" i="33"/>
  <c r="E23" i="33" s="1"/>
  <c r="E33" i="33" s="1"/>
  <c r="E25" i="33"/>
  <c r="E26" i="33" s="1"/>
  <c r="E52" i="33" l="1"/>
  <c r="E53" i="33" s="1"/>
  <c r="E78" i="33" s="1"/>
  <c r="E77" i="33"/>
  <c r="E129" i="33"/>
  <c r="C64" i="36"/>
  <c r="R63" i="36"/>
  <c r="F118" i="33"/>
  <c r="N10" i="33"/>
  <c r="P9" i="33"/>
  <c r="Q9" i="33" s="1"/>
  <c r="R9" i="33" s="1"/>
  <c r="S9" i="33" s="1"/>
  <c r="E80" i="33" l="1"/>
  <c r="E96" i="33"/>
  <c r="E107" i="33" s="1"/>
  <c r="S63" i="36"/>
  <c r="T63" i="36" s="1"/>
  <c r="C65" i="36"/>
  <c r="R64" i="36"/>
  <c r="E8" i="33"/>
  <c r="E120" i="33" s="1"/>
  <c r="T9" i="33"/>
  <c r="E121" i="33" l="1"/>
  <c r="E123" i="33" s="1"/>
  <c r="E95" i="33"/>
  <c r="E134" i="33"/>
  <c r="U9" i="33"/>
  <c r="V9" i="33" s="1"/>
  <c r="W9" i="33" s="1"/>
  <c r="X9" i="33" s="1"/>
  <c r="Y9" i="33" s="1"/>
  <c r="Z9" i="33" s="1"/>
  <c r="AA9" i="33" s="1"/>
  <c r="AB9" i="33" s="1"/>
  <c r="C66" i="36"/>
  <c r="R65" i="36"/>
  <c r="E124" i="33"/>
  <c r="S64" i="36"/>
  <c r="T64" i="36" s="1"/>
  <c r="E10" i="33"/>
  <c r="E13" i="33" s="1"/>
  <c r="E146" i="33" l="1"/>
  <c r="F144" i="33"/>
  <c r="E144" i="33"/>
  <c r="E84" i="33"/>
  <c r="E94" i="33"/>
  <c r="E131" i="33" s="1"/>
  <c r="E142" i="33" s="1"/>
  <c r="C67" i="36"/>
  <c r="R66" i="36"/>
  <c r="S65" i="36"/>
  <c r="E99" i="33" l="1"/>
  <c r="E104" i="33" s="1"/>
  <c r="E105" i="33" s="1"/>
  <c r="S66" i="36"/>
  <c r="T65" i="36"/>
  <c r="C68" i="36"/>
  <c r="R67" i="36"/>
  <c r="E108" i="33" l="1"/>
  <c r="E128" i="33" s="1"/>
  <c r="C69" i="36"/>
  <c r="R68" i="36"/>
  <c r="S67" i="36"/>
  <c r="T66" i="36"/>
  <c r="E133" i="33" l="1"/>
  <c r="E152" i="33"/>
  <c r="S68" i="36"/>
  <c r="T67" i="36"/>
  <c r="C70" i="36"/>
  <c r="R69" i="36"/>
  <c r="E143" i="33" l="1"/>
  <c r="F145" i="33"/>
  <c r="G145" i="33" s="1"/>
  <c r="E145" i="33"/>
  <c r="C71" i="36"/>
  <c r="R70" i="36"/>
  <c r="S69" i="36"/>
  <c r="T68" i="36"/>
  <c r="E147" i="33" l="1"/>
  <c r="E148" i="33" s="1"/>
  <c r="E150" i="33" s="1"/>
  <c r="E151" i="33" s="1"/>
  <c r="E154" i="33" s="1"/>
  <c r="S70" i="36"/>
  <c r="T70" i="36" s="1"/>
  <c r="T69" i="36"/>
  <c r="C72" i="36"/>
  <c r="R71" i="36"/>
  <c r="E155" i="33" l="1"/>
  <c r="E157" i="33"/>
  <c r="S71" i="36"/>
  <c r="T71" i="36" s="1"/>
  <c r="C73" i="36"/>
  <c r="R72" i="36"/>
  <c r="S72" i="36" l="1"/>
  <c r="T72" i="36" s="1"/>
  <c r="C74" i="36"/>
  <c r="R73" i="36"/>
  <c r="S73" i="36" l="1"/>
  <c r="T73" i="36" s="1"/>
  <c r="C75" i="36"/>
  <c r="R74" i="36"/>
  <c r="S74" i="36" l="1"/>
  <c r="T74" i="36" s="1"/>
  <c r="C76" i="36"/>
  <c r="R75" i="36"/>
  <c r="S75" i="36" l="1"/>
  <c r="T75" i="36" s="1"/>
  <c r="C77" i="36"/>
  <c r="R76" i="36"/>
  <c r="S76" i="36" l="1"/>
  <c r="T76" i="36" s="1"/>
  <c r="C78" i="36"/>
  <c r="R77" i="36"/>
  <c r="S77" i="36" l="1"/>
  <c r="T77" i="36" s="1"/>
  <c r="C79" i="36"/>
  <c r="R78" i="36"/>
  <c r="S78" i="36" l="1"/>
  <c r="T78" i="36" s="1"/>
  <c r="C80" i="36"/>
  <c r="R79" i="36"/>
  <c r="S79" i="36" l="1"/>
  <c r="T79" i="36" s="1"/>
  <c r="C81" i="36"/>
  <c r="R80" i="36"/>
  <c r="S80" i="36" l="1"/>
  <c r="T80" i="36" s="1"/>
  <c r="C82" i="36"/>
  <c r="R81" i="36"/>
  <c r="S81" i="36" l="1"/>
  <c r="T81" i="36" s="1"/>
  <c r="C83" i="36"/>
  <c r="R82" i="36"/>
  <c r="S82" i="36" l="1"/>
  <c r="T82" i="36" s="1"/>
  <c r="C84" i="36"/>
  <c r="R83" i="36"/>
  <c r="S83" i="36" l="1"/>
  <c r="T83" i="36" s="1"/>
  <c r="C85" i="36"/>
  <c r="R84" i="36"/>
  <c r="S84" i="36" s="1"/>
  <c r="T84" i="36" s="1"/>
  <c r="C86" i="36" l="1"/>
  <c r="R85" i="36"/>
  <c r="S85" i="36" s="1"/>
  <c r="T85" i="36" s="1"/>
  <c r="C87" i="36" l="1"/>
  <c r="R86" i="36"/>
  <c r="S86" i="36" s="1"/>
  <c r="T86" i="36" s="1"/>
  <c r="C88" i="36" l="1"/>
  <c r="R87" i="36"/>
  <c r="S87" i="36" s="1"/>
  <c r="T87" i="36" s="1"/>
  <c r="C89" i="36" l="1"/>
  <c r="R88" i="36"/>
  <c r="S88" i="36" s="1"/>
  <c r="T88" i="36" s="1"/>
  <c r="C90" i="36" l="1"/>
  <c r="R89" i="36"/>
  <c r="S89" i="36" s="1"/>
  <c r="T89" i="36" s="1"/>
  <c r="C91" i="36" l="1"/>
  <c r="R90" i="36"/>
  <c r="S90" i="36" s="1"/>
  <c r="T90" i="36" s="1"/>
  <c r="C92" i="36" l="1"/>
  <c r="R91" i="36"/>
  <c r="S91" i="36" s="1"/>
  <c r="T91" i="36" s="1"/>
  <c r="C93" i="36" l="1"/>
  <c r="R92" i="36"/>
  <c r="S92" i="36" s="1"/>
  <c r="T92" i="36" s="1"/>
  <c r="C94" i="36" l="1"/>
  <c r="R93" i="36"/>
  <c r="S93" i="36" s="1"/>
  <c r="T93" i="36" s="1"/>
  <c r="C95" i="36" l="1"/>
  <c r="R94" i="36"/>
  <c r="S94" i="36" s="1"/>
  <c r="T94" i="36" s="1"/>
  <c r="C96" i="36" l="1"/>
  <c r="R95" i="36"/>
  <c r="S95" i="36" s="1"/>
  <c r="T95" i="36" s="1"/>
  <c r="C97" i="36" l="1"/>
  <c r="R96" i="36"/>
  <c r="S96" i="36" s="1"/>
  <c r="T96" i="36" s="1"/>
  <c r="C98" i="36" l="1"/>
  <c r="R97" i="36"/>
  <c r="S97" i="36" s="1"/>
  <c r="T97" i="36" s="1"/>
  <c r="C99" i="36" l="1"/>
  <c r="R98" i="36"/>
  <c r="S98" i="36" s="1"/>
  <c r="T98" i="36" s="1"/>
  <c r="C100" i="36" l="1"/>
  <c r="R99" i="36"/>
  <c r="S99" i="36" s="1"/>
  <c r="T99" i="36" s="1"/>
  <c r="C101" i="36" l="1"/>
  <c r="R100" i="36"/>
  <c r="S100" i="36" s="1"/>
  <c r="T100" i="36" s="1"/>
  <c r="C102" i="36" l="1"/>
  <c r="R101" i="36"/>
  <c r="S101" i="36" s="1"/>
  <c r="T101" i="36" s="1"/>
  <c r="C103" i="36" l="1"/>
  <c r="R102" i="36"/>
  <c r="S102" i="36" s="1"/>
  <c r="T102" i="36" s="1"/>
  <c r="C104" i="36" l="1"/>
  <c r="R103" i="36"/>
  <c r="S103" i="36" s="1"/>
  <c r="T103" i="36" s="1"/>
  <c r="C105" i="36" l="1"/>
  <c r="R104" i="36"/>
  <c r="S104" i="36" s="1"/>
  <c r="T104" i="36" s="1"/>
  <c r="C106" i="36" l="1"/>
  <c r="R105" i="36"/>
  <c r="S105" i="36" s="1"/>
  <c r="T105" i="36" s="1"/>
  <c r="C107" i="36" l="1"/>
  <c r="R106" i="36"/>
  <c r="S106" i="36" s="1"/>
  <c r="T106" i="36" s="1"/>
  <c r="C108" i="36" l="1"/>
  <c r="R107" i="36"/>
  <c r="S107" i="36" s="1"/>
  <c r="T107" i="36" s="1"/>
  <c r="C109" i="36" l="1"/>
  <c r="R108" i="36"/>
  <c r="S108" i="36" s="1"/>
  <c r="T108" i="36" s="1"/>
  <c r="C110" i="36" l="1"/>
  <c r="R109" i="36"/>
  <c r="S109" i="36" s="1"/>
  <c r="T109" i="36" s="1"/>
  <c r="C111" i="36" l="1"/>
  <c r="R110" i="36"/>
  <c r="S110" i="36" s="1"/>
  <c r="T110" i="36" s="1"/>
  <c r="C112" i="36" l="1"/>
  <c r="R111" i="36"/>
  <c r="S111" i="36" s="1"/>
  <c r="T111" i="36" s="1"/>
  <c r="C113" i="36" l="1"/>
  <c r="R112" i="36"/>
  <c r="S112" i="36" s="1"/>
  <c r="T112" i="36" s="1"/>
  <c r="C114" i="36" l="1"/>
  <c r="R113" i="36"/>
  <c r="S113" i="36" s="1"/>
  <c r="T113" i="36" s="1"/>
  <c r="C115" i="36" l="1"/>
  <c r="R114" i="36"/>
  <c r="S114" i="36" s="1"/>
  <c r="T114" i="36" s="1"/>
  <c r="C116" i="36" l="1"/>
  <c r="R115" i="36"/>
  <c r="S115" i="36" s="1"/>
  <c r="T115" i="36" s="1"/>
  <c r="C117" i="36" l="1"/>
  <c r="R116" i="36"/>
  <c r="S116" i="36" s="1"/>
  <c r="T116" i="36" s="1"/>
  <c r="C118" i="36" l="1"/>
  <c r="R117" i="36"/>
  <c r="S117" i="36" s="1"/>
  <c r="T117" i="36" s="1"/>
  <c r="C119" i="36" l="1"/>
  <c r="R118" i="36"/>
  <c r="S118" i="36" s="1"/>
  <c r="T118" i="36" s="1"/>
  <c r="C120" i="36" l="1"/>
  <c r="R119" i="36"/>
  <c r="S119" i="36" s="1"/>
  <c r="T119" i="36" s="1"/>
  <c r="C121" i="36" l="1"/>
  <c r="R120" i="36"/>
  <c r="S120" i="36" s="1"/>
  <c r="T120" i="36" s="1"/>
  <c r="C122" i="36" l="1"/>
  <c r="R121" i="36"/>
  <c r="S121" i="36" s="1"/>
  <c r="T121" i="36" s="1"/>
  <c r="C123" i="36" l="1"/>
  <c r="R122" i="36"/>
  <c r="S122" i="36" s="1"/>
  <c r="T122" i="36" s="1"/>
  <c r="C124" i="36" l="1"/>
  <c r="R123" i="36"/>
  <c r="S123" i="36" s="1"/>
  <c r="T123" i="36" s="1"/>
  <c r="C125" i="36" l="1"/>
  <c r="R124" i="36"/>
  <c r="S124" i="36" s="1"/>
  <c r="T124" i="36" s="1"/>
  <c r="C126" i="36" l="1"/>
  <c r="R125" i="36"/>
  <c r="S125" i="36" s="1"/>
  <c r="T125" i="36" s="1"/>
  <c r="C127" i="36" l="1"/>
  <c r="R126" i="36"/>
  <c r="S126" i="36" s="1"/>
  <c r="T126" i="36" s="1"/>
  <c r="C128" i="36" l="1"/>
  <c r="R127" i="36"/>
  <c r="S127" i="36" s="1"/>
  <c r="T127" i="36" l="1"/>
  <c r="C129" i="36"/>
  <c r="R128" i="36"/>
  <c r="S128" i="36" s="1"/>
  <c r="T128" i="36" s="1"/>
  <c r="C130" i="36" l="1"/>
  <c r="R129" i="36"/>
  <c r="S129" i="36" s="1"/>
  <c r="T129" i="36" s="1"/>
  <c r="C131" i="36" l="1"/>
  <c r="R130" i="36"/>
  <c r="S130" i="36" s="1"/>
  <c r="T130" i="36" s="1"/>
  <c r="C132" i="36" l="1"/>
  <c r="R131" i="36"/>
  <c r="S131" i="36" s="1"/>
  <c r="T131" i="36" s="1"/>
  <c r="C133" i="36" l="1"/>
  <c r="R132" i="36"/>
  <c r="S132" i="36" s="1"/>
  <c r="T132" i="36" s="1"/>
  <c r="C134" i="36" l="1"/>
  <c r="R133" i="36"/>
  <c r="S133" i="36" s="1"/>
  <c r="T133" i="36" s="1"/>
  <c r="C135" i="36" l="1"/>
  <c r="R134" i="36"/>
  <c r="S134" i="36" s="1"/>
  <c r="T134" i="36" s="1"/>
  <c r="C136" i="36" l="1"/>
  <c r="R135" i="36"/>
  <c r="S135" i="36" s="1"/>
  <c r="T135" i="36" s="1"/>
  <c r="C137" i="36" l="1"/>
  <c r="R136" i="36"/>
  <c r="S136" i="36" s="1"/>
  <c r="T136" i="36" s="1"/>
  <c r="C138" i="36" l="1"/>
  <c r="R137" i="36"/>
  <c r="S137" i="36" s="1"/>
  <c r="T137" i="36" s="1"/>
  <c r="C139" i="36" l="1"/>
  <c r="R138" i="36"/>
  <c r="S138" i="36" s="1"/>
  <c r="T138" i="36" s="1"/>
  <c r="C140" i="36" l="1"/>
  <c r="R139" i="36"/>
  <c r="S139" i="36" s="1"/>
  <c r="T139" i="36" s="1"/>
  <c r="R140" i="36" l="1"/>
  <c r="S140" i="36" s="1"/>
  <c r="T140" i="36" s="1"/>
  <c r="R141" i="36"/>
  <c r="S141" i="36" s="1"/>
  <c r="T141" i="36" s="1"/>
  <c r="D156" i="36" s="1"/>
  <c r="D163" i="36" s="1"/>
</calcChain>
</file>

<file path=xl/sharedStrings.xml><?xml version="1.0" encoding="utf-8"?>
<sst xmlns="http://schemas.openxmlformats.org/spreadsheetml/2006/main" count="727" uniqueCount="235">
  <si>
    <t>=</t>
  </si>
  <si>
    <t>psia</t>
  </si>
  <si>
    <t>Deg F</t>
  </si>
  <si>
    <t>psig</t>
  </si>
  <si>
    <t>Scenario</t>
  </si>
  <si>
    <t>inches</t>
  </si>
  <si>
    <t>Sch</t>
  </si>
  <si>
    <t>T</t>
  </si>
  <si>
    <t>lb/ft3</t>
  </si>
  <si>
    <t>lb/hr</t>
  </si>
  <si>
    <t>G</t>
  </si>
  <si>
    <t>psi</t>
  </si>
  <si>
    <t>Q</t>
  </si>
  <si>
    <t>A</t>
  </si>
  <si>
    <t>R</t>
  </si>
  <si>
    <t>-</t>
  </si>
  <si>
    <t>Relieving Pressure</t>
  </si>
  <si>
    <t>Relief Temperature</t>
  </si>
  <si>
    <t>Fittings</t>
  </si>
  <si>
    <t>Density</t>
  </si>
  <si>
    <t>NPS</t>
  </si>
  <si>
    <t>D</t>
  </si>
  <si>
    <t>Qty</t>
  </si>
  <si>
    <t>L/D</t>
  </si>
  <si>
    <t>lbm/ft2-sec</t>
  </si>
  <si>
    <t>Total</t>
  </si>
  <si>
    <t>Initial Value, Iterated</t>
  </si>
  <si>
    <t>LHS</t>
  </si>
  <si>
    <t>RHS</t>
  </si>
  <si>
    <t>Difference</t>
  </si>
  <si>
    <t>Pipe Inside Diameter Table</t>
  </si>
  <si>
    <t>Pipe Inside Diameter, ( inches)</t>
  </si>
  <si>
    <t>Schedule</t>
  </si>
  <si>
    <t>STD</t>
  </si>
  <si>
    <t>XS</t>
  </si>
  <si>
    <t>XX</t>
  </si>
  <si>
    <t>f</t>
  </si>
  <si>
    <t>d</t>
  </si>
  <si>
    <t>inch2</t>
  </si>
  <si>
    <t xml:space="preserve">PSV Sizing </t>
  </si>
  <si>
    <t xml:space="preserve">where </t>
  </si>
  <si>
    <t>Kd</t>
  </si>
  <si>
    <t>Kb</t>
  </si>
  <si>
    <t>Aselected</t>
  </si>
  <si>
    <t>Orifice Selected</t>
  </si>
  <si>
    <t>API Orifice Letter</t>
  </si>
  <si>
    <t>Orifice Area,
(in2)</t>
  </si>
  <si>
    <t>E</t>
  </si>
  <si>
    <t>F</t>
  </si>
  <si>
    <t>H</t>
  </si>
  <si>
    <t>J</t>
  </si>
  <si>
    <t>K</t>
  </si>
  <si>
    <t>L</t>
  </si>
  <si>
    <t>M</t>
  </si>
  <si>
    <t>N</t>
  </si>
  <si>
    <t>P</t>
  </si>
  <si>
    <t>Option 1</t>
  </si>
  <si>
    <t>Option 2</t>
  </si>
  <si>
    <t>Option 3</t>
  </si>
  <si>
    <t>Inlet X Outlet Sizes</t>
  </si>
  <si>
    <t>1 X 2</t>
  </si>
  <si>
    <t>1.5 X 2</t>
  </si>
  <si>
    <t>1.5 X 2.5</t>
  </si>
  <si>
    <t>1.5 X 3</t>
  </si>
  <si>
    <t>2 X 3</t>
  </si>
  <si>
    <t>2.5 X 4</t>
  </si>
  <si>
    <t>3 X 4</t>
  </si>
  <si>
    <t>4 X 6</t>
  </si>
  <si>
    <t>6 X 8</t>
  </si>
  <si>
    <t>6 X 10</t>
  </si>
  <si>
    <t>8 X 10</t>
  </si>
  <si>
    <t>in2</t>
  </si>
  <si>
    <t>Possible Sizes</t>
  </si>
  <si>
    <t>Orifce Size Check</t>
  </si>
  <si>
    <t>Kv</t>
  </si>
  <si>
    <t>Btu/lb</t>
  </si>
  <si>
    <t xml:space="preserve">Liquid </t>
  </si>
  <si>
    <t>Vapor</t>
  </si>
  <si>
    <t>x</t>
  </si>
  <si>
    <t>α</t>
  </si>
  <si>
    <t>PSV Rated Capacity</t>
  </si>
  <si>
    <t>Subcooled Liquid</t>
  </si>
  <si>
    <t>B</t>
  </si>
  <si>
    <t>PSV Outlet Presure Drop Calculation</t>
  </si>
  <si>
    <t>Step 1</t>
  </si>
  <si>
    <t>PSV set pressure</t>
  </si>
  <si>
    <t>PSV Type</t>
  </si>
  <si>
    <t>Balanced Bellows</t>
  </si>
  <si>
    <t>Back Pressure, PB</t>
  </si>
  <si>
    <t>Reference Pressure, PR</t>
  </si>
  <si>
    <t>Isenthalpic Flash from Relieving Pressure  to Reference Pressure</t>
  </si>
  <si>
    <t>Specific Enthalpy</t>
  </si>
  <si>
    <t>Fluid density</t>
  </si>
  <si>
    <t>Fluid Phase</t>
  </si>
  <si>
    <t>Step 2</t>
  </si>
  <si>
    <t>Isenthalpic Flash from Relieving Pressure  to 50% of Reference Pressure</t>
  </si>
  <si>
    <t>Liquid Specific Enthalpy</t>
  </si>
  <si>
    <t>Vapor Specific Enthalpy</t>
  </si>
  <si>
    <t>Mixture Enthalpy</t>
  </si>
  <si>
    <t>Quality, x</t>
  </si>
  <si>
    <t>Liquid Fluid density</t>
  </si>
  <si>
    <t>Step 3</t>
  </si>
  <si>
    <t>ω</t>
  </si>
  <si>
    <r>
      <t xml:space="preserve">Calculate correlating parameter, </t>
    </r>
    <r>
      <rPr>
        <b/>
        <sz val="12"/>
        <color theme="1"/>
        <rFont val="Calibri"/>
        <family val="2"/>
      </rPr>
      <t>ω</t>
    </r>
  </si>
  <si>
    <t>Step 4</t>
  </si>
  <si>
    <t>Rated Capacity</t>
  </si>
  <si>
    <t>Outlet Line size</t>
  </si>
  <si>
    <t>Inside Dia</t>
  </si>
  <si>
    <t>Flow Area, A</t>
  </si>
  <si>
    <t>Mass Flux, G</t>
  </si>
  <si>
    <t>lb/hr-in2</t>
  </si>
  <si>
    <t>Calculate Critical Pressure ratio</t>
  </si>
  <si>
    <t>C3</t>
  </si>
  <si>
    <t>pc</t>
  </si>
  <si>
    <t>Pressure at Pipe exit</t>
  </si>
  <si>
    <t xml:space="preserve">Atmophseric </t>
  </si>
  <si>
    <t>Flow</t>
  </si>
  <si>
    <t>p2</t>
  </si>
  <si>
    <t>Pexit</t>
  </si>
  <si>
    <t>η1</t>
  </si>
  <si>
    <t>pR</t>
  </si>
  <si>
    <t>(p2/pR)</t>
  </si>
  <si>
    <t>fd</t>
  </si>
  <si>
    <t>ff</t>
  </si>
  <si>
    <t>Fanning Friction Factor, ff</t>
  </si>
  <si>
    <t>St  pipe  lengfth</t>
  </si>
  <si>
    <t>90o SR Elbows</t>
  </si>
  <si>
    <t>Pipe exit</t>
  </si>
  <si>
    <t>Eq Length</t>
  </si>
  <si>
    <t>feet</t>
  </si>
  <si>
    <t>L/D Total</t>
  </si>
  <si>
    <t>Total Length, L</t>
  </si>
  <si>
    <t>C1</t>
  </si>
  <si>
    <t>C2</t>
  </si>
  <si>
    <t>η2</t>
  </si>
  <si>
    <t>(η1-η2)/(1-ω)</t>
  </si>
  <si>
    <t>[(1-ω)η1+ω]/[[(1-ω)η2+ω]</t>
  </si>
  <si>
    <t>C2.pR.RhoR/G^2</t>
  </si>
  <si>
    <t>Saturation Temperature</t>
  </si>
  <si>
    <t xml:space="preserve">Specific Enthalpy-Liquid </t>
  </si>
  <si>
    <t>Specific Enthalpy-Vapor</t>
  </si>
  <si>
    <t>Mixture Specific Enthaply</t>
  </si>
  <si>
    <t>Density- Liquid</t>
  </si>
  <si>
    <t>Density-Vapor</t>
  </si>
  <si>
    <r>
      <t xml:space="preserve">Vapor Volume fraction, </t>
    </r>
    <r>
      <rPr>
        <sz val="10"/>
        <color theme="1"/>
        <rFont val="Calibri"/>
        <family val="2"/>
      </rPr>
      <t>α</t>
    </r>
  </si>
  <si>
    <t>Mixture Density,</t>
  </si>
  <si>
    <t>ω/((1-ω)^2)</t>
  </si>
  <si>
    <t>PSV Set Pressure</t>
  </si>
  <si>
    <t>Sizing of the PSV for two phase flow is being done using the HEM Direct Integration Method</t>
  </si>
  <si>
    <t>specified in API 520 Part1 C 2.1.1,3</t>
  </si>
  <si>
    <t>Required orifice area is calculated using the equation shown below</t>
  </si>
  <si>
    <t>Required orifice area , in2</t>
  </si>
  <si>
    <t>W</t>
  </si>
  <si>
    <t>required releif rate, lb/hr</t>
  </si>
  <si>
    <t>discharge coefficient = 0.85 for two phase at the PSV inlet</t>
  </si>
  <si>
    <t>and 0.65 for subcooled liquid at PSV inlet</t>
  </si>
  <si>
    <t>back pressure correction factor</t>
  </si>
  <si>
    <t>Kc</t>
  </si>
  <si>
    <t>combination correction factor</t>
  </si>
  <si>
    <t>viscosity correction factor</t>
  </si>
  <si>
    <t>Mass Flux</t>
  </si>
  <si>
    <t>Mass Flux, lb/ft2-sec</t>
  </si>
  <si>
    <t>The mass flux is estimated using the integral</t>
  </si>
  <si>
    <t>G is calculated through the maximization of the integral</t>
  </si>
  <si>
    <t>mass density of the fluid, lb/ft3</t>
  </si>
  <si>
    <t>gravitational constant, 32.17 lbmft/sec2. lbf</t>
  </si>
  <si>
    <t>p</t>
  </si>
  <si>
    <t>stagnation pressure of the fluid, psia</t>
  </si>
  <si>
    <t>t</t>
  </si>
  <si>
    <t>condition at the throat of the nozzle or orifice of the PSV</t>
  </si>
  <si>
    <t>the integral can numerically integrated as below</t>
  </si>
  <si>
    <t xml:space="preserve">The integration  is done by reducing the pressure from PSV inlet pressure to the back pressure of </t>
  </si>
  <si>
    <t xml:space="preserve">the  PSV in decrements of 1 psi, the temperature, mass quality,  fluid mixture density are obtained </t>
  </si>
  <si>
    <t xml:space="preserve">from thermodynamic tables for each pressure. The mass flux is calculated till it reaches a maximum </t>
  </si>
  <si>
    <t>value or the back pressure is reached whichever occurs first.</t>
  </si>
  <si>
    <t>Step</t>
  </si>
  <si>
    <t>Pressure</t>
  </si>
  <si>
    <t>Temp</t>
  </si>
  <si>
    <t>Liquid</t>
  </si>
  <si>
    <t>Mixture</t>
  </si>
  <si>
    <t>Avg</t>
  </si>
  <si>
    <t>ft2/sec2</t>
  </si>
  <si>
    <t>lbm/ft2-s</t>
  </si>
  <si>
    <t>Vapor Vol</t>
  </si>
  <si>
    <t xml:space="preserve">Mass </t>
  </si>
  <si>
    <t>Quality</t>
  </si>
  <si>
    <t xml:space="preserve">Total </t>
  </si>
  <si>
    <t>Entropy</t>
  </si>
  <si>
    <t>SL</t>
  </si>
  <si>
    <t>SV</t>
  </si>
  <si>
    <t>Fraction</t>
  </si>
  <si>
    <t>S</t>
  </si>
  <si>
    <t>Btu/lboF</t>
  </si>
  <si>
    <t>S = x. Sv + (1-x)*SL</t>
  </si>
  <si>
    <t>Enthalpy</t>
  </si>
  <si>
    <t>hL</t>
  </si>
  <si>
    <t>Btu/lbm</t>
  </si>
  <si>
    <t xml:space="preserve">Vapor </t>
  </si>
  <si>
    <t>hV</t>
  </si>
  <si>
    <t>Target</t>
  </si>
  <si>
    <t>Diff</t>
  </si>
  <si>
    <t>gc</t>
  </si>
  <si>
    <t>lbf.ft3/in2-lbm</t>
  </si>
  <si>
    <t>Required releif rate, W</t>
  </si>
  <si>
    <t>Max Mass Flux, G</t>
  </si>
  <si>
    <t>Required Orifice Area Calculation</t>
  </si>
  <si>
    <t>For subcooled liquid at PSV inlet</t>
  </si>
  <si>
    <t>PSV Size</t>
  </si>
  <si>
    <t>Using  HEM Direct Integration Method</t>
  </si>
  <si>
    <t>PSV Selection</t>
  </si>
  <si>
    <t>Selected Orifice Area,A</t>
  </si>
  <si>
    <t>Rated Capacity,W</t>
  </si>
  <si>
    <t>(30% of PSV Set Pressure)</t>
  </si>
  <si>
    <t>Actual Fluid Temperature</t>
  </si>
  <si>
    <t xml:space="preserve">Deg F </t>
  </si>
  <si>
    <t>Mass Quality</t>
  </si>
  <si>
    <t>Critical Pressure Ratio, Pc</t>
  </si>
  <si>
    <t>p1</t>
  </si>
  <si>
    <t>osia</t>
  </si>
  <si>
    <t>Pressure Drop, DP</t>
  </si>
  <si>
    <t>DP/100ft</t>
  </si>
  <si>
    <t>psi/100ft</t>
  </si>
  <si>
    <t>At Relieving Pressure, Po</t>
  </si>
  <si>
    <t>Relieving Pressure, Po</t>
  </si>
  <si>
    <t>Fluid Temperature, To</t>
  </si>
  <si>
    <t>At Reference Pressure, pR</t>
  </si>
  <si>
    <t>lb/ft2-hr</t>
  </si>
  <si>
    <t>% of set pressure</t>
  </si>
  <si>
    <t xml:space="preserve">API 521 </t>
  </si>
  <si>
    <t>-----&gt; Too low so can be considered an isenthalpic flash</t>
  </si>
  <si>
    <t>(50% of pR)</t>
  </si>
  <si>
    <t>Step 5</t>
  </si>
  <si>
    <t>Calculate back pressure, p1</t>
  </si>
  <si>
    <t>&lt;--- Goal Seek cell E219 to zero by changing cell  E203</t>
  </si>
  <si>
    <t>PSV Outlet Pressure Drop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</si>
</sst>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0"/>
    <numFmt numFmtId="165" formatCode="0.0"/>
    <numFmt numFmtId="166" formatCode="General_)"/>
    <numFmt numFmtId="167" formatCode="0.0000"/>
    <numFmt numFmtId="168" formatCode="0.00000"/>
    <numFmt numFmtId="169" formatCode="0.000E+00"/>
    <numFmt numFmtId="170" formatCode="0.0000E+00"/>
    <numFmt numFmtId="171" formatCode="0.000000"/>
    <numFmt numFmtId="172" formatCode="0.00000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name val="Helv"/>
    </font>
    <font>
      <sz val="10"/>
      <color theme="1"/>
      <name val="Calibri"/>
      <family val="2"/>
    </font>
    <font>
      <i/>
      <sz val="7"/>
      <color theme="1"/>
      <name val="Arial"/>
      <family val="2"/>
    </font>
    <font>
      <i/>
      <sz val="10"/>
      <color theme="1"/>
      <name val="Arial"/>
      <family val="2"/>
    </font>
    <font>
      <b/>
      <sz val="14"/>
      <color rgb="FF0000FF"/>
      <name val="Arial"/>
      <family val="2"/>
    </font>
    <font>
      <sz val="14"/>
      <color rgb="FF0000FF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8"/>
      <name val="Calibri"/>
      <family val="2"/>
      <scheme val="minor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4" fillId="0" borderId="0"/>
    <xf numFmtId="0" fontId="3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right"/>
    </xf>
    <xf numFmtId="2" fontId="1" fillId="0" borderId="0" xfId="0" applyNumberFormat="1" applyFont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7" xfId="0" applyFont="1" applyBorder="1"/>
    <xf numFmtId="2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1" fontId="1" fillId="0" borderId="0" xfId="0" applyNumberFormat="1" applyFont="1" applyAlignment="1">
      <alignment horizontal="left"/>
    </xf>
    <xf numFmtId="2" fontId="1" fillId="3" borderId="0" xfId="0" applyNumberFormat="1" applyFont="1" applyFill="1" applyAlignment="1">
      <alignment horizontal="left"/>
    </xf>
    <xf numFmtId="2" fontId="1" fillId="0" borderId="0" xfId="0" quotePrefix="1" applyNumberFormat="1" applyFont="1" applyAlignment="1">
      <alignment horizontal="left"/>
    </xf>
    <xf numFmtId="167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 vertical="center" wrapText="1"/>
    </xf>
    <xf numFmtId="12" fontId="1" fillId="0" borderId="6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6" fillId="0" borderId="0" xfId="0" applyFont="1"/>
    <xf numFmtId="168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4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" fontId="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  <xf numFmtId="165" fontId="1" fillId="0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1" fillId="0" borderId="4" xfId="0" applyFont="1" applyFill="1" applyBorder="1" applyAlignment="1">
      <alignment horizontal="right" vertical="center" wrapText="1"/>
    </xf>
    <xf numFmtId="167" fontId="1" fillId="0" borderId="5" xfId="0" applyNumberFormat="1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left"/>
    </xf>
    <xf numFmtId="2" fontId="1" fillId="0" borderId="0" xfId="0" applyNumberFormat="1" applyFont="1"/>
    <xf numFmtId="167" fontId="1" fillId="0" borderId="6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165" fontId="1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9" fontId="1" fillId="0" borderId="0" xfId="0" applyNumberFormat="1" applyFont="1" applyAlignment="1">
      <alignment horizontal="left"/>
    </xf>
    <xf numFmtId="167" fontId="1" fillId="0" borderId="0" xfId="0" applyNumberFormat="1" applyFont="1" applyFill="1" applyBorder="1" applyAlignment="1">
      <alignment horizontal="left" vertical="center" wrapText="1"/>
    </xf>
    <xf numFmtId="170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Protection="1">
      <protection locked="0"/>
    </xf>
    <xf numFmtId="0" fontId="1" fillId="0" borderId="0" xfId="0" applyFont="1" applyFill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8" fontId="1" fillId="0" borderId="6" xfId="0" applyNumberFormat="1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6" xfId="0" applyFont="1" applyFill="1" applyBorder="1"/>
    <xf numFmtId="0" fontId="1" fillId="3" borderId="6" xfId="0" applyFont="1" applyFill="1" applyBorder="1" applyAlignment="1" applyProtection="1">
      <alignment horizontal="center"/>
      <protection locked="0"/>
    </xf>
    <xf numFmtId="0" fontId="13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2" borderId="2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171" fontId="1" fillId="0" borderId="0" xfId="0" applyNumberFormat="1" applyFont="1" applyAlignment="1">
      <alignment horizontal="left"/>
    </xf>
    <xf numFmtId="167" fontId="1" fillId="0" borderId="5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0" borderId="0" xfId="0" quotePrefix="1" applyFont="1"/>
    <xf numFmtId="172" fontId="1" fillId="0" borderId="0" xfId="0" applyNumberFormat="1" applyFont="1" applyAlignment="1">
      <alignment horizontal="left"/>
    </xf>
    <xf numFmtId="171" fontId="1" fillId="0" borderId="6" xfId="0" applyNumberFormat="1" applyFont="1" applyBorder="1" applyAlignment="1">
      <alignment horizontal="center"/>
    </xf>
    <xf numFmtId="172" fontId="1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0" borderId="6" xfId="0" applyFont="1" applyBorder="1" applyAlignment="1">
      <alignment horizontal="center"/>
    </xf>
  </cellXfs>
  <cellStyles count="3">
    <cellStyle name="Normal" xfId="0" builtinId="0"/>
    <cellStyle name="Normal 2" xfId="2" xr:uid="{6C55097B-A992-4479-9449-FE372DA6FEDF}"/>
    <cellStyle name="Normal 3" xfId="1" xr:uid="{54674A5F-3BF7-4DEC-B181-F95D84B49C01}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FF99FF"/>
      <color rgb="FFFFFFCC"/>
      <color rgb="FF0000FF"/>
      <color rgb="FFCCECFF"/>
      <color rgb="FFCCFFCC"/>
      <color rgb="FFCC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225425</xdr:colOff>
      <xdr:row>44</xdr:row>
      <xdr:rowOff>129347</xdr:rowOff>
    </xdr:from>
    <xdr:ext cx="1836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87B237E9-E8A3-458A-8AEF-5D92ADFB2569}"/>
                </a:ext>
              </a:extLst>
            </xdr:cNvPr>
            <xdr:cNvSpPr txBox="1"/>
          </xdr:nvSpPr>
          <xdr:spPr>
            <a:xfrm>
              <a:off x="1661077" y="21310738"/>
              <a:ext cx="1836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87B237E9-E8A3-458A-8AEF-5D92ADFB2569}"/>
                </a:ext>
              </a:extLst>
            </xdr:cNvPr>
            <xdr:cNvSpPr txBox="1"/>
          </xdr:nvSpPr>
          <xdr:spPr>
            <a:xfrm>
              <a:off x="1661077" y="21310738"/>
              <a:ext cx="1836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n-US" sz="1100" b="0" i="0">
                  <a:latin typeface="Cambria Math" panose="02040503050406030204" pitchFamily="18" charset="0"/>
                </a:rPr>
                <a:t>𝑅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416477</xdr:colOff>
      <xdr:row>56</xdr:row>
      <xdr:rowOff>132522</xdr:rowOff>
    </xdr:from>
    <xdr:ext cx="17498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6EFD060D-909C-4D12-A631-A92ECAECC3E0}"/>
                </a:ext>
              </a:extLst>
            </xdr:cNvPr>
            <xdr:cNvSpPr txBox="1"/>
          </xdr:nvSpPr>
          <xdr:spPr>
            <a:xfrm>
              <a:off x="1962564" y="23456348"/>
              <a:ext cx="17498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h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𝐿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6EFD060D-909C-4D12-A631-A92ECAECC3E0}"/>
                </a:ext>
              </a:extLst>
            </xdr:cNvPr>
            <xdr:cNvSpPr txBox="1"/>
          </xdr:nvSpPr>
          <xdr:spPr>
            <a:xfrm>
              <a:off x="1962564" y="23456348"/>
              <a:ext cx="17498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ℎ_𝐿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410127</xdr:colOff>
      <xdr:row>57</xdr:row>
      <xdr:rowOff>153091</xdr:rowOff>
    </xdr:from>
    <xdr:ext cx="1767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3ED34BF-1288-49B0-9B94-5A8C6DAE5216}"/>
                </a:ext>
              </a:extLst>
            </xdr:cNvPr>
            <xdr:cNvSpPr txBox="1"/>
          </xdr:nvSpPr>
          <xdr:spPr>
            <a:xfrm>
              <a:off x="1956214" y="23642569"/>
              <a:ext cx="1767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h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𝑣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3ED34BF-1288-49B0-9B94-5A8C6DAE5216}"/>
                </a:ext>
              </a:extLst>
            </xdr:cNvPr>
            <xdr:cNvSpPr txBox="1"/>
          </xdr:nvSpPr>
          <xdr:spPr>
            <a:xfrm>
              <a:off x="1956214" y="23642569"/>
              <a:ext cx="1767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ℎ_𝑣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424483</xdr:colOff>
      <xdr:row>58</xdr:row>
      <xdr:rowOff>150054</xdr:rowOff>
    </xdr:from>
    <xdr:ext cx="17953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867F99EE-5A13-46AA-B3D1-D20488943E67}"/>
                </a:ext>
              </a:extLst>
            </xdr:cNvPr>
            <xdr:cNvSpPr txBox="1"/>
          </xdr:nvSpPr>
          <xdr:spPr>
            <a:xfrm>
              <a:off x="1970570" y="23799663"/>
              <a:ext cx="17953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h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867F99EE-5A13-46AA-B3D1-D20488943E67}"/>
                </a:ext>
              </a:extLst>
            </xdr:cNvPr>
            <xdr:cNvSpPr txBox="1"/>
          </xdr:nvSpPr>
          <xdr:spPr>
            <a:xfrm>
              <a:off x="1970570" y="23799663"/>
              <a:ext cx="17953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ℎ_𝑥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445880</xdr:colOff>
      <xdr:row>54</xdr:row>
      <xdr:rowOff>139700</xdr:rowOff>
    </xdr:from>
    <xdr:ext cx="17190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D332213-B117-48F5-88EC-E19E32644875}"/>
                </a:ext>
              </a:extLst>
            </xdr:cNvPr>
            <xdr:cNvSpPr txBox="1"/>
          </xdr:nvSpPr>
          <xdr:spPr>
            <a:xfrm>
              <a:off x="1991967" y="23132222"/>
              <a:ext cx="17190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𝐿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D332213-B117-48F5-88EC-E19E32644875}"/>
                </a:ext>
              </a:extLst>
            </xdr:cNvPr>
            <xdr:cNvSpPr txBox="1"/>
          </xdr:nvSpPr>
          <xdr:spPr>
            <a:xfrm>
              <a:off x="1991967" y="23132222"/>
              <a:ext cx="17190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n-US" sz="1100" b="0" i="0">
                  <a:latin typeface="Cambria Math" panose="02040503050406030204" pitchFamily="18" charset="0"/>
                </a:rPr>
                <a:t>𝐿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426830</xdr:colOff>
      <xdr:row>55</xdr:row>
      <xdr:rowOff>145222</xdr:rowOff>
    </xdr:from>
    <xdr:ext cx="17267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720FB9AF-A7AA-4B04-8801-9A62748EA117}"/>
                </a:ext>
              </a:extLst>
            </xdr:cNvPr>
            <xdr:cNvSpPr txBox="1"/>
          </xdr:nvSpPr>
          <xdr:spPr>
            <a:xfrm>
              <a:off x="1972917" y="23303396"/>
              <a:ext cx="17267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𝑣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720FB9AF-A7AA-4B04-8801-9A62748EA117}"/>
                </a:ext>
              </a:extLst>
            </xdr:cNvPr>
            <xdr:cNvSpPr txBox="1"/>
          </xdr:nvSpPr>
          <xdr:spPr>
            <a:xfrm>
              <a:off x="1972917" y="23303396"/>
              <a:ext cx="17267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n-US" sz="1100" b="0" i="0">
                  <a:latin typeface="Cambria Math" panose="02040503050406030204" pitchFamily="18" charset="0"/>
                </a:rPr>
                <a:t>𝑣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90557</xdr:colOff>
      <xdr:row>65</xdr:row>
      <xdr:rowOff>16566</xdr:rowOff>
    </xdr:from>
    <xdr:ext cx="173874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8C064D37-F1C4-41E1-B65D-6FBE4F6A6E85}"/>
                </a:ext>
              </a:extLst>
            </xdr:cNvPr>
            <xdr:cNvSpPr txBox="1"/>
          </xdr:nvSpPr>
          <xdr:spPr>
            <a:xfrm>
              <a:off x="4215296" y="24792609"/>
              <a:ext cx="173874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𝑚𝑖𝑥𝑡𝑢𝑟𝑒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𝛼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𝑣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𝛼</m:t>
                        </m:r>
                      </m:e>
                    </m:d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𝑙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8C064D37-F1C4-41E1-B65D-6FBE4F6A6E85}"/>
                </a:ext>
              </a:extLst>
            </xdr:cNvPr>
            <xdr:cNvSpPr txBox="1"/>
          </xdr:nvSpPr>
          <xdr:spPr>
            <a:xfrm>
              <a:off x="4215296" y="24792609"/>
              <a:ext cx="173874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𝑚𝑖𝑥𝑡𝑢𝑟𝑒</a:t>
              </a:r>
              <a:r>
                <a:rPr lang="en-US" sz="1100" b="0" i="0">
                  <a:latin typeface="Cambria Math" panose="02040503050406030204" pitchFamily="18" charset="0"/>
                </a:rPr>
                <a:t>=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𝛼.𝜌_𝑣+(1−𝛼) 𝜌_𝑙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79375</xdr:colOff>
      <xdr:row>68</xdr:row>
      <xdr:rowOff>136525</xdr:rowOff>
    </xdr:from>
    <xdr:ext cx="1092671" cy="796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3BBA0EA-C668-456B-A229-DDD09E4A2569}"/>
                </a:ext>
              </a:extLst>
            </xdr:cNvPr>
            <xdr:cNvSpPr txBox="1"/>
          </xdr:nvSpPr>
          <xdr:spPr>
            <a:xfrm>
              <a:off x="695325" y="25314275"/>
              <a:ext cx="1092671" cy="796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𝜔</m:t>
                    </m:r>
                    <m:r>
                      <a:rPr lang="en-US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n-US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US" sz="14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4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𝜌</m:t>
                                    </m:r>
                                  </m:e>
                                  <m:sub>
                                    <m:r>
                                      <a:rPr lang="en-US" sz="14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𝑅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𝜌</m:t>
                                </m:r>
                              </m:den>
                            </m:f>
                          </m:e>
                        </m:d>
                        <m:r>
                          <a:rPr lang="en-US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−1</m:t>
                        </m:r>
                      </m:num>
                      <m:den>
                        <m:d>
                          <m:dPr>
                            <m:ctrlP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US" sz="14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4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𝑝</m:t>
                                    </m:r>
                                  </m:e>
                                  <m:sub>
                                    <m:r>
                                      <a:rPr lang="en-US" sz="14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𝑅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n-US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𝑝</m:t>
                                </m:r>
                              </m:den>
                            </m:f>
                          </m:e>
                        </m:d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3BBA0EA-C668-456B-A229-DDD09E4A2569}"/>
                </a:ext>
              </a:extLst>
            </xdr:cNvPr>
            <xdr:cNvSpPr txBox="1"/>
          </xdr:nvSpPr>
          <xdr:spPr>
            <a:xfrm>
              <a:off x="695325" y="25314275"/>
              <a:ext cx="1092671" cy="796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</a:t>
              </a:r>
              <a:r>
                <a:rPr lang="en-US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=((𝜌_𝑅/𝜌)−1)/(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𝑝_𝑅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)−1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2</xdr:col>
      <xdr:colOff>412750</xdr:colOff>
      <xdr:row>74</xdr:row>
      <xdr:rowOff>0</xdr:rowOff>
    </xdr:from>
    <xdr:ext cx="1836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85FE90A6-BD90-4E80-A37F-E2D2F45FD4F0}"/>
                </a:ext>
              </a:extLst>
            </xdr:cNvPr>
            <xdr:cNvSpPr txBox="1"/>
          </xdr:nvSpPr>
          <xdr:spPr>
            <a:xfrm>
              <a:off x="1809750" y="26593800"/>
              <a:ext cx="1836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85FE90A6-BD90-4E80-A37F-E2D2F45FD4F0}"/>
                </a:ext>
              </a:extLst>
            </xdr:cNvPr>
            <xdr:cNvSpPr txBox="1"/>
          </xdr:nvSpPr>
          <xdr:spPr>
            <a:xfrm>
              <a:off x="1809750" y="26593800"/>
              <a:ext cx="1836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n-US" sz="1100" b="0" i="0">
                  <a:latin typeface="Cambria Math" panose="02040503050406030204" pitchFamily="18" charset="0"/>
                </a:rPr>
                <a:t>𝑅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464378</xdr:colOff>
      <xdr:row>74</xdr:row>
      <xdr:rowOff>144946</xdr:rowOff>
    </xdr:from>
    <xdr:ext cx="11323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7003D149-9EB5-46DC-B9B6-1753B3A729AA}"/>
                </a:ext>
              </a:extLst>
            </xdr:cNvPr>
            <xdr:cNvSpPr txBox="1"/>
          </xdr:nvSpPr>
          <xdr:spPr>
            <a:xfrm>
              <a:off x="1900030" y="29111989"/>
              <a:ext cx="11323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𝜌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7003D149-9EB5-46DC-B9B6-1753B3A729AA}"/>
                </a:ext>
              </a:extLst>
            </xdr:cNvPr>
            <xdr:cNvSpPr txBox="1"/>
          </xdr:nvSpPr>
          <xdr:spPr>
            <a:xfrm>
              <a:off x="1900030" y="29111989"/>
              <a:ext cx="11323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796925</xdr:colOff>
      <xdr:row>87</xdr:row>
      <xdr:rowOff>41275</xdr:rowOff>
    </xdr:from>
    <xdr:ext cx="1410001" cy="6365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8FCF8430-BE1C-4BBC-A300-5380A0F1F251}"/>
                </a:ext>
              </a:extLst>
            </xdr:cNvPr>
            <xdr:cNvSpPr txBox="1"/>
          </xdr:nvSpPr>
          <xdr:spPr>
            <a:xfrm>
              <a:off x="1412875" y="30273625"/>
              <a:ext cx="1410001" cy="6365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𝑝</m:t>
                        </m:r>
                      </m:e>
                      <m:sub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en-US" sz="14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</m:sSub>
                    <m:r>
                      <a:rPr lang="en-US" sz="1400" b="0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n-US" sz="14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lang="en-US" sz="1400" b="0" i="1">
                        <a:latin typeface="Cambria Math" panose="02040503050406030204" pitchFamily="18" charset="0"/>
                      </a:rPr>
                      <m:t>.</m:t>
                    </m:r>
                    <m:rad>
                      <m:radPr>
                        <m:degHide m:val="on"/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𝜔</m:t>
                            </m:r>
                            <m:r>
                              <a:rPr lang="en-US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sSub>
                              <m:sSubPr>
                                <m:ctrlPr>
                                  <a:rPr lang="en-US" sz="1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𝑝</m:t>
                                </m:r>
                              </m:e>
                              <m:sub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𝑅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𝜌</m:t>
                                </m:r>
                              </m:e>
                              <m:sub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  <m:t>𝑅</m:t>
                                </m:r>
                              </m:sub>
                            </m:sSub>
                          </m:den>
                        </m:f>
                      </m:e>
                    </m:rad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8FCF8430-BE1C-4BBC-A300-5380A0F1F251}"/>
                </a:ext>
              </a:extLst>
            </xdr:cNvPr>
            <xdr:cNvSpPr txBox="1"/>
          </xdr:nvSpPr>
          <xdr:spPr>
            <a:xfrm>
              <a:off x="1412875" y="30273625"/>
              <a:ext cx="1410001" cy="6365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400" b="0" i="0">
                  <a:latin typeface="Cambria Math" panose="02040503050406030204" pitchFamily="18" charset="0"/>
                </a:rPr>
                <a:t>𝑝_𝑐=𝐶_3.𝐺.√((</a:t>
              </a:r>
              <a:r>
                <a:rPr lang="en-US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𝜔.𝑝_𝑅)/𝜌_</a:t>
              </a:r>
              <a:r>
                <a:rPr lang="en-US" sz="1400" b="0" i="0">
                  <a:latin typeface="Cambria Math" panose="02040503050406030204" pitchFamily="18" charset="0"/>
                </a:rPr>
                <a:t>𝑅 )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2</xdr:col>
      <xdr:colOff>397566</xdr:colOff>
      <xdr:row>95</xdr:row>
      <xdr:rowOff>138043</xdr:rowOff>
    </xdr:from>
    <xdr:ext cx="1836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50608F2F-301E-46BC-A4FA-8AEF884035BC}"/>
                </a:ext>
              </a:extLst>
            </xdr:cNvPr>
            <xdr:cNvSpPr txBox="1"/>
          </xdr:nvSpPr>
          <xdr:spPr>
            <a:xfrm>
              <a:off x="1833218" y="31700304"/>
              <a:ext cx="1836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50608F2F-301E-46BC-A4FA-8AEF884035BC}"/>
                </a:ext>
              </a:extLst>
            </xdr:cNvPr>
            <xdr:cNvSpPr txBox="1"/>
          </xdr:nvSpPr>
          <xdr:spPr>
            <a:xfrm>
              <a:off x="1833218" y="31700304"/>
              <a:ext cx="1836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n-US" sz="1100" b="0" i="0">
                  <a:latin typeface="Cambria Math" panose="02040503050406030204" pitchFamily="18" charset="0"/>
                </a:rPr>
                <a:t>𝑅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408609</xdr:colOff>
      <xdr:row>128</xdr:row>
      <xdr:rowOff>127000</xdr:rowOff>
    </xdr:from>
    <xdr:ext cx="1836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787F4912-F255-4FF1-A31B-9BCCEDB5D0EA}"/>
                </a:ext>
              </a:extLst>
            </xdr:cNvPr>
            <xdr:cNvSpPr txBox="1"/>
          </xdr:nvSpPr>
          <xdr:spPr>
            <a:xfrm>
              <a:off x="1844261" y="37188913"/>
              <a:ext cx="1836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787F4912-F255-4FF1-A31B-9BCCEDB5D0EA}"/>
                </a:ext>
              </a:extLst>
            </xdr:cNvPr>
            <xdr:cNvSpPr txBox="1"/>
          </xdr:nvSpPr>
          <xdr:spPr>
            <a:xfrm>
              <a:off x="1844261" y="37188913"/>
              <a:ext cx="1836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n-US" sz="1100" b="0" i="0">
                  <a:latin typeface="Cambria Math" panose="02040503050406030204" pitchFamily="18" charset="0"/>
                </a:rPr>
                <a:t>𝑅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309217</xdr:colOff>
      <xdr:row>36</xdr:row>
      <xdr:rowOff>143565</xdr:rowOff>
    </xdr:from>
    <xdr:ext cx="17498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FD887B5D-8A96-4404-A254-D91CC73ADED5}"/>
                </a:ext>
              </a:extLst>
            </xdr:cNvPr>
            <xdr:cNvSpPr txBox="1"/>
          </xdr:nvSpPr>
          <xdr:spPr>
            <a:xfrm>
              <a:off x="1744869" y="19050000"/>
              <a:ext cx="17498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h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𝐿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FD887B5D-8A96-4404-A254-D91CC73ADED5}"/>
                </a:ext>
              </a:extLst>
            </xdr:cNvPr>
            <xdr:cNvSpPr txBox="1"/>
          </xdr:nvSpPr>
          <xdr:spPr>
            <a:xfrm>
              <a:off x="1744869" y="19050000"/>
              <a:ext cx="17498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ℎ_𝐿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314739</xdr:colOff>
      <xdr:row>38</xdr:row>
      <xdr:rowOff>5522</xdr:rowOff>
    </xdr:from>
    <xdr:ext cx="1767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3E522376-9BFB-479B-9EF4-00209F1AB9D4}"/>
                </a:ext>
              </a:extLst>
            </xdr:cNvPr>
            <xdr:cNvSpPr txBox="1"/>
          </xdr:nvSpPr>
          <xdr:spPr>
            <a:xfrm>
              <a:off x="1750391" y="19072087"/>
              <a:ext cx="1767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h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𝑣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3E522376-9BFB-479B-9EF4-00209F1AB9D4}"/>
                </a:ext>
              </a:extLst>
            </xdr:cNvPr>
            <xdr:cNvSpPr txBox="1"/>
          </xdr:nvSpPr>
          <xdr:spPr>
            <a:xfrm>
              <a:off x="1750391" y="19072087"/>
              <a:ext cx="1767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ℎ_𝑣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320261</xdr:colOff>
      <xdr:row>39</xdr:row>
      <xdr:rowOff>5522</xdr:rowOff>
    </xdr:from>
    <xdr:ext cx="17953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596DD4B5-477A-422B-93A8-5BDC6CB69BF9}"/>
                </a:ext>
              </a:extLst>
            </xdr:cNvPr>
            <xdr:cNvSpPr txBox="1"/>
          </xdr:nvSpPr>
          <xdr:spPr>
            <a:xfrm>
              <a:off x="1755913" y="19392348"/>
              <a:ext cx="17953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h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596DD4B5-477A-422B-93A8-5BDC6CB69BF9}"/>
                </a:ext>
              </a:extLst>
            </xdr:cNvPr>
            <xdr:cNvSpPr txBox="1"/>
          </xdr:nvSpPr>
          <xdr:spPr>
            <a:xfrm>
              <a:off x="1755913" y="19392348"/>
              <a:ext cx="17953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ℎ_𝑥</a:t>
              </a:r>
              <a:endParaRPr lang="en-US" sz="1100"/>
            </a:p>
          </xdr:txBody>
        </xdr:sp>
      </mc:Fallback>
    </mc:AlternateContent>
    <xdr:clientData/>
  </xdr:oneCellAnchor>
  <xdr:twoCellAnchor editAs="oneCell">
    <xdr:from>
      <xdr:col>0</xdr:col>
      <xdr:colOff>386523</xdr:colOff>
      <xdr:row>135</xdr:row>
      <xdr:rowOff>121479</xdr:rowOff>
    </xdr:from>
    <xdr:to>
      <xdr:col>10</xdr:col>
      <xdr:colOff>35616</xdr:colOff>
      <xdr:row>139</xdr:row>
      <xdr:rowOff>112212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60E50D5A-3FE7-4EA2-8325-8742CBAA6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523" y="22230522"/>
          <a:ext cx="6424267" cy="631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120374</xdr:colOff>
      <xdr:row>44</xdr:row>
      <xdr:rowOff>43347</xdr:rowOff>
    </xdr:from>
    <xdr:to>
      <xdr:col>9</xdr:col>
      <xdr:colOff>452783</xdr:colOff>
      <xdr:row>46</xdr:row>
      <xdr:rowOff>115458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7D691E02-B6D7-4AD2-BDA7-D135058B7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113" y="20584217"/>
          <a:ext cx="2364409" cy="392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320261</xdr:colOff>
      <xdr:row>41</xdr:row>
      <xdr:rowOff>77305</xdr:rowOff>
    </xdr:from>
    <xdr:ext cx="1447127" cy="456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6B7E6266-8062-457C-9940-C91AD00F9B22}"/>
                </a:ext>
              </a:extLst>
            </xdr:cNvPr>
            <xdr:cNvSpPr txBox="1"/>
          </xdr:nvSpPr>
          <xdr:spPr>
            <a:xfrm>
              <a:off x="4445000" y="20121218"/>
              <a:ext cx="1447127" cy="456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𝛼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1−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𝑥</m:t>
                            </m:r>
                          </m:e>
                        </m:d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∗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𝜌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𝑉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𝜌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𝐿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6B7E6266-8062-457C-9940-C91AD00F9B22}"/>
                </a:ext>
              </a:extLst>
            </xdr:cNvPr>
            <xdr:cNvSpPr txBox="1"/>
          </xdr:nvSpPr>
          <xdr:spPr>
            <a:xfrm>
              <a:off x="4445000" y="20121218"/>
              <a:ext cx="1447127" cy="456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=𝑥/(𝑥+(1−𝑥)∗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𝜌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_𝑉/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𝜌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_𝐿 )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20431</xdr:colOff>
      <xdr:row>58</xdr:row>
      <xdr:rowOff>130865</xdr:rowOff>
    </xdr:from>
    <xdr:ext cx="141295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88A365FA-CC0D-44B7-A951-E84C4E81339F}"/>
                </a:ext>
              </a:extLst>
            </xdr:cNvPr>
            <xdr:cNvSpPr txBox="1"/>
          </xdr:nvSpPr>
          <xdr:spPr>
            <a:xfrm>
              <a:off x="4145170" y="23780474"/>
              <a:ext cx="141295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h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𝛼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h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𝑣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𝛼</m:t>
                        </m:r>
                      </m:e>
                    </m:d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h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𝐿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88A365FA-CC0D-44B7-A951-E84C4E81339F}"/>
                </a:ext>
              </a:extLst>
            </xdr:cNvPr>
            <xdr:cNvSpPr txBox="1"/>
          </xdr:nvSpPr>
          <xdr:spPr>
            <a:xfrm>
              <a:off x="4145170" y="23780474"/>
              <a:ext cx="141295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ℎ_𝑥=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𝛼.ℎ_𝑣+(1−𝛼) ℎ_𝐿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60739</xdr:colOff>
      <xdr:row>60</xdr:row>
      <xdr:rowOff>138043</xdr:rowOff>
    </xdr:from>
    <xdr:ext cx="1447127" cy="456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12FEC4D2-AD4E-411F-95E2-648161ACB7EF}"/>
                </a:ext>
              </a:extLst>
            </xdr:cNvPr>
            <xdr:cNvSpPr txBox="1"/>
          </xdr:nvSpPr>
          <xdr:spPr>
            <a:xfrm>
              <a:off x="4185478" y="24107913"/>
              <a:ext cx="1447127" cy="456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𝛼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1−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𝑥</m:t>
                            </m:r>
                          </m:e>
                        </m:d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∗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𝜌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𝑉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𝜌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𝐿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12FEC4D2-AD4E-411F-95E2-648161ACB7EF}"/>
                </a:ext>
              </a:extLst>
            </xdr:cNvPr>
            <xdr:cNvSpPr txBox="1"/>
          </xdr:nvSpPr>
          <xdr:spPr>
            <a:xfrm>
              <a:off x="4185478" y="24107913"/>
              <a:ext cx="1447127" cy="456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=𝑥/(𝑥+(1−𝑥)∗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𝜌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_𝑉/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𝜌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_𝐿 )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82826</xdr:colOff>
      <xdr:row>65</xdr:row>
      <xdr:rowOff>5522</xdr:rowOff>
    </xdr:from>
    <xdr:ext cx="53174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A80C0217-5834-4866-ACB3-BB33486AB8B9}"/>
                </a:ext>
              </a:extLst>
            </xdr:cNvPr>
            <xdr:cNvSpPr txBox="1"/>
          </xdr:nvSpPr>
          <xdr:spPr>
            <a:xfrm>
              <a:off x="1628913" y="24781565"/>
              <a:ext cx="53174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𝑚𝑖𝑥𝑡𝑢𝑟𝑒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A80C0217-5834-4866-ACB3-BB33486AB8B9}"/>
                </a:ext>
              </a:extLst>
            </xdr:cNvPr>
            <xdr:cNvSpPr txBox="1"/>
          </xdr:nvSpPr>
          <xdr:spPr>
            <a:xfrm>
              <a:off x="1628913" y="24781565"/>
              <a:ext cx="53174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𝑚𝑖𝑥𝑡𝑢𝑟𝑒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549965</xdr:colOff>
      <xdr:row>50</xdr:row>
      <xdr:rowOff>4141</xdr:rowOff>
    </xdr:from>
    <xdr:ext cx="1132426" cy="3185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C80B389F-280F-4425-B72E-9C6F454E07A4}"/>
                </a:ext>
              </a:extLst>
            </xdr:cNvPr>
            <xdr:cNvSpPr txBox="1"/>
          </xdr:nvSpPr>
          <xdr:spPr>
            <a:xfrm>
              <a:off x="6753915" y="7960691"/>
              <a:ext cx="1132426" cy="3185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𝛼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𝛼</m:t>
                        </m:r>
                      </m:den>
                    </m:f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den>
                    </m:f>
                    <m:r>
                      <a:rPr lang="en-US" sz="1100" b="0" i="1">
                        <a:latin typeface="Cambria Math" panose="02040503050406030204" pitchFamily="18" charset="0"/>
                      </a:rPr>
                      <m:t>.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𝜌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𝑙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𝜌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𝑣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C80B389F-280F-4425-B72E-9C6F454E07A4}"/>
                </a:ext>
              </a:extLst>
            </xdr:cNvPr>
            <xdr:cNvSpPr txBox="1"/>
          </xdr:nvSpPr>
          <xdr:spPr>
            <a:xfrm>
              <a:off x="6753915" y="7960691"/>
              <a:ext cx="1132426" cy="3185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𝛼/(</a:t>
              </a:r>
              <a:r>
                <a:rPr lang="en-US" sz="1100" b="0" i="0">
                  <a:latin typeface="Cambria Math" panose="02040503050406030204" pitchFamily="18" charset="0"/>
                </a:rPr>
                <a:t>1−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𝛼)</a:t>
              </a:r>
              <a:r>
                <a:rPr lang="en-US" sz="1100" b="0" i="0">
                  <a:latin typeface="Cambria Math" panose="02040503050406030204" pitchFamily="18" charset="0"/>
                </a:rPr>
                <a:t>=𝑥/(1−𝑥).  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n-US" sz="1100" b="0" i="0">
                  <a:latin typeface="Cambria Math" panose="02040503050406030204" pitchFamily="18" charset="0"/>
                </a:rPr>
                <a:t>𝑙/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n-US" sz="1100" b="0" i="0">
                  <a:latin typeface="Cambria Math" panose="02040503050406030204" pitchFamily="18" charset="0"/>
                </a:rPr>
                <a:t>𝑣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15</xdr:col>
      <xdr:colOff>459961</xdr:colOff>
      <xdr:row>53</xdr:row>
      <xdr:rowOff>7455</xdr:rowOff>
    </xdr:from>
    <xdr:ext cx="173874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8CCFE583-1BC1-4D44-944E-FB901008FC99}"/>
                </a:ext>
              </a:extLst>
            </xdr:cNvPr>
            <xdr:cNvSpPr txBox="1"/>
          </xdr:nvSpPr>
          <xdr:spPr>
            <a:xfrm>
              <a:off x="8841961" y="8440255"/>
              <a:ext cx="173874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𝑚𝑖𝑥𝑡𝑢𝑟𝑒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𝛼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𝑣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𝛼</m:t>
                        </m:r>
                      </m:e>
                    </m:d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𝑙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8CCFE583-1BC1-4D44-944E-FB901008FC99}"/>
                </a:ext>
              </a:extLst>
            </xdr:cNvPr>
            <xdr:cNvSpPr txBox="1"/>
          </xdr:nvSpPr>
          <xdr:spPr>
            <a:xfrm>
              <a:off x="8841961" y="8440255"/>
              <a:ext cx="173874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𝑚𝑖𝑥𝑡𝑢𝑟𝑒</a:t>
              </a:r>
              <a:r>
                <a:rPr lang="en-US" sz="1100" b="0" i="0">
                  <a:latin typeface="Cambria Math" panose="02040503050406030204" pitchFamily="18" charset="0"/>
                </a:rPr>
                <a:t>=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𝛼.𝜌_𝑣+(1−𝛼) 𝜌_𝑙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492125</xdr:colOff>
      <xdr:row>15</xdr:row>
      <xdr:rowOff>53975</xdr:rowOff>
    </xdr:from>
    <xdr:ext cx="1150508" cy="3781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6A2696D3-56A4-41CB-A340-DAE6BAEE6BE9}"/>
                </a:ext>
              </a:extLst>
            </xdr:cNvPr>
            <xdr:cNvSpPr txBox="1"/>
          </xdr:nvSpPr>
          <xdr:spPr>
            <a:xfrm>
              <a:off x="1089025" y="2447925"/>
              <a:ext cx="1150508" cy="3781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0.04 </m:t>
                        </m:r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𝑊</m:t>
                        </m:r>
                      </m:num>
                      <m:den>
                        <m:sSub>
                          <m:sSub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</m:sub>
                        </m:sSub>
                        <m:sSub>
                          <m:sSubPr>
                            <m:ctrlPr>
                              <a:rPr lang="en-US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𝑏</m:t>
                            </m:r>
                          </m:sub>
                        </m:sSub>
                        <m:sSub>
                          <m:sSubPr>
                            <m:ctrlPr>
                              <a:rPr lang="en-US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𝑐</m:t>
                            </m:r>
                          </m:sub>
                        </m:sSub>
                        <m:sSub>
                          <m:sSubPr>
                            <m:ctrlPr>
                              <a:rPr lang="en-US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𝑣</m:t>
                            </m:r>
                          </m:sub>
                        </m:sSub>
                        <m:r>
                          <a:rPr lang="en-US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</m:t>
                        </m:r>
                      </m:den>
                    </m:f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6A2696D3-56A4-41CB-A340-DAE6BAEE6BE9}"/>
                </a:ext>
              </a:extLst>
            </xdr:cNvPr>
            <xdr:cNvSpPr txBox="1"/>
          </xdr:nvSpPr>
          <xdr:spPr>
            <a:xfrm>
              <a:off x="1089025" y="2447925"/>
              <a:ext cx="1150508" cy="3781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200" b="0" i="0">
                  <a:latin typeface="Cambria Math" panose="02040503050406030204" pitchFamily="18" charset="0"/>
                </a:rPr>
                <a:t>𝐴=  (0.04 𝑊)/(𝐾_𝑑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𝐾_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𝑏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𝐾_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𝐾_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 𝐺)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</xdr:col>
      <xdr:colOff>333375</xdr:colOff>
      <xdr:row>31</xdr:row>
      <xdr:rowOff>15875</xdr:rowOff>
    </xdr:from>
    <xdr:ext cx="1929695" cy="5274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ECF49C59-34F8-4027-8ED7-B945234133AC}"/>
                </a:ext>
              </a:extLst>
            </xdr:cNvPr>
            <xdr:cNvSpPr txBox="1"/>
          </xdr:nvSpPr>
          <xdr:spPr>
            <a:xfrm>
              <a:off x="930275" y="4956175"/>
              <a:ext cx="1929695" cy="5274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d>
                          <m:dPr>
                            <m:begChr m:val="["/>
                            <m:endChr m:val="]"/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𝜌</m:t>
                                </m:r>
                              </m:e>
                              <m:sub>
                                <m: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  <m:t>𝑡</m:t>
                                </m:r>
                                <m: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  <m:t>.</m:t>
                                </m:r>
                              </m:sub>
                            </m:sSub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−2</m:t>
                                    </m:r>
                                    <m:sSub>
                                      <m:sSub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𝑔</m:t>
                                        </m:r>
                                      </m:e>
                                      <m:sub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𝑐</m:t>
                                        </m:r>
                                      </m:sub>
                                    </m:s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.</m:t>
                                    </m:r>
                                    <m:nary>
                                      <m:nary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naryPr>
                                      <m:sub>
                                        <m:sSub>
                                          <m:sSubPr>
                                            <m:ctrlP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𝑝</m:t>
                                            </m:r>
                                          </m:e>
                                          <m:sub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𝑜</m:t>
                                            </m:r>
                                          </m:sub>
                                        </m:sSub>
                                      </m:sub>
                                      <m:sup>
                                        <m:sSub>
                                          <m:sSubPr>
                                            <m:ctrlP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𝑝</m:t>
                                            </m:r>
                                          </m:e>
                                          <m:sub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𝑡</m:t>
                                            </m:r>
                                          </m:sub>
                                        </m:sSub>
                                      </m:sup>
                                      <m:e>
                                        <m:f>
                                          <m:fPr>
                                            <m:ctrlP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fPr>
                                          <m:num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𝑑𝑝</m:t>
                                            </m:r>
                                          </m:num>
                                          <m:den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𝜌</m:t>
                                            </m:r>
                                          </m:den>
                                        </m:f>
                                      </m:e>
                                    </m:nary>
                                  </m:e>
                                </m:d>
                              </m:e>
                              <m:sup>
                                <m:f>
                                  <m:f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sup>
                            </m:sSup>
                          </m:e>
                        </m:d>
                      </m:e>
                      <m:sub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𝑚𝑎𝑥</m:t>
                        </m:r>
                      </m:sub>
                    </m:sSub>
                    <m:r>
                      <a:rPr lang="en-US" sz="12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ECF49C59-34F8-4027-8ED7-B945234133AC}"/>
                </a:ext>
              </a:extLst>
            </xdr:cNvPr>
            <xdr:cNvSpPr txBox="1"/>
          </xdr:nvSpPr>
          <xdr:spPr>
            <a:xfrm>
              <a:off x="930275" y="4956175"/>
              <a:ext cx="1929695" cy="5274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200" b="0" i="0">
                  <a:latin typeface="Cambria Math" panose="02040503050406030204" pitchFamily="18" charset="0"/>
                </a:rPr>
                <a:t>𝐺=[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𝜌_(</a:t>
              </a:r>
              <a:r>
                <a:rPr lang="en-US" sz="1200" b="0" i="0">
                  <a:latin typeface="Cambria Math" panose="02040503050406030204" pitchFamily="18" charset="0"/>
                </a:rPr>
                <a:t>𝑡.)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(−2𝑔_𝑐.∫_(𝑝_𝑜)^(𝑝_𝑡)▒𝑑𝑝/𝜌)^(1/2)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]_</a:t>
              </a:r>
              <a:r>
                <a:rPr lang="en-US" sz="1200" b="0" i="0">
                  <a:latin typeface="Cambria Math" panose="02040503050406030204" pitchFamily="18" charset="0"/>
                </a:rPr>
                <a:t>𝑚𝑎𝑥  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</xdr:col>
      <xdr:colOff>955675</xdr:colOff>
      <xdr:row>37</xdr:row>
      <xdr:rowOff>117475</xdr:rowOff>
    </xdr:from>
    <xdr:ext cx="11323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4C91692C-4B1A-403D-9207-99449C85E258}"/>
                </a:ext>
              </a:extLst>
            </xdr:cNvPr>
            <xdr:cNvSpPr txBox="1"/>
          </xdr:nvSpPr>
          <xdr:spPr>
            <a:xfrm>
              <a:off x="1260475" y="6010275"/>
              <a:ext cx="11323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𝜌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4C91692C-4B1A-403D-9207-99449C85E258}"/>
                </a:ext>
              </a:extLst>
            </xdr:cNvPr>
            <xdr:cNvSpPr txBox="1"/>
          </xdr:nvSpPr>
          <xdr:spPr>
            <a:xfrm>
              <a:off x="1260475" y="6010275"/>
              <a:ext cx="11323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168275</xdr:colOff>
      <xdr:row>45</xdr:row>
      <xdr:rowOff>53975</xdr:rowOff>
    </xdr:from>
    <xdr:ext cx="1781449" cy="47391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B7A127E7-E3DE-47CC-90CC-4C83C4D0C3FF}"/>
                </a:ext>
              </a:extLst>
            </xdr:cNvPr>
            <xdr:cNvSpPr txBox="1"/>
          </xdr:nvSpPr>
          <xdr:spPr>
            <a:xfrm>
              <a:off x="765175" y="7216775"/>
              <a:ext cx="1781449" cy="4739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sSub>
                          <m:sSub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𝑝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𝑜</m:t>
                            </m:r>
                          </m:sub>
                        </m:sSub>
                      </m:sub>
                      <m:sup>
                        <m:sSub>
                          <m:sSub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𝑝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</m:sup>
                      <m:e>
                        <m:f>
                          <m:f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𝑑𝑝</m:t>
                            </m:r>
                          </m:num>
                          <m:den>
                            <m:r>
                              <a:rPr lang="en-US" sz="11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𝜌</m:t>
                            </m:r>
                          </m:den>
                        </m:f>
                      </m:e>
                    </m:nary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nary>
                      <m:naryPr>
                        <m:chr m:val="∑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n-US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=0</m:t>
                        </m:r>
                      </m:sub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p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2.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  <m:t>𝑝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  <m:t>𝑖</m:t>
                                    </m:r>
                                    <m: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  <m:t>+1</m:t>
                                    </m:r>
                                  </m:sub>
                                </m:s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𝑝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num>
                              <m:den>
                                <m:d>
                                  <m:dPr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sSub>
                                      <m:sSubPr>
                                        <m:ctrlPr>
                                          <a:rPr lang="en-US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𝜌</m:t>
                                        </m:r>
                                      </m:e>
                                      <m:sub>
                                        <m:r>
                                          <a:rPr lang="en-US" sz="1100" b="0" i="1">
                                            <a:latin typeface="Cambria Math" panose="02040503050406030204" pitchFamily="18" charset="0"/>
                                          </a:rPr>
                                          <m:t>𝑖</m:t>
                                        </m:r>
                                        <m:r>
                                          <a:rPr lang="en-US" sz="1100" b="0" i="1">
                                            <a:latin typeface="Cambria Math" panose="02040503050406030204" pitchFamily="18" charset="0"/>
                                          </a:rPr>
                                          <m:t>+1</m:t>
                                        </m:r>
                                      </m:sub>
                                    </m:sSub>
                                    <m: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sSub>
                                      <m:sSub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𝜌</m:t>
                                        </m:r>
                                      </m:e>
                                      <m:sub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</m:e>
                                </m:d>
                              </m:den>
                            </m:f>
                          </m:e>
                        </m:d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B7A127E7-E3DE-47CC-90CC-4C83C4D0C3FF}"/>
                </a:ext>
              </a:extLst>
            </xdr:cNvPr>
            <xdr:cNvSpPr txBox="1"/>
          </xdr:nvSpPr>
          <xdr:spPr>
            <a:xfrm>
              <a:off x="765175" y="7216775"/>
              <a:ext cx="1781449" cy="4739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∫24_(</a:t>
              </a:r>
              <a:r>
                <a:rPr lang="en-US" sz="1100" b="0" i="0">
                  <a:latin typeface="Cambria Math" panose="02040503050406030204" pitchFamily="18" charset="0"/>
                </a:rPr>
                <a:t>𝑝_𝑜)^(𝑝_𝑡)▒𝑑𝑝/</a:t>
              </a:r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</a:t>
              </a:r>
              <a:r>
                <a:rPr lang="en-US" sz="1100" b="0" i="0">
                  <a:latin typeface="Cambria Math" panose="02040503050406030204" pitchFamily="18" charset="0"/>
                </a:rPr>
                <a:t>=∑24_(𝑖=0)^𝑡▒〖2.[(𝑝_(𝑖+1)−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𝑝_𝑖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)/((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𝜌_(</a:t>
              </a:r>
              <a:r>
                <a:rPr lang="en-US" sz="1100" b="0" i="0">
                  <a:latin typeface="Cambria Math" panose="02040503050406030204" pitchFamily="18" charset="0"/>
                </a:rPr>
                <a:t>𝑖+1)+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𝜌_𝑖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 )] 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17</xdr:col>
      <xdr:colOff>149225</xdr:colOff>
      <xdr:row>55</xdr:row>
      <xdr:rowOff>155575</xdr:rowOff>
    </xdr:from>
    <xdr:ext cx="304058" cy="3692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63F4496F-B9F1-4EEA-8950-451D6FE7EE0A}"/>
                </a:ext>
              </a:extLst>
            </xdr:cNvPr>
            <xdr:cNvSpPr txBox="1"/>
          </xdr:nvSpPr>
          <xdr:spPr>
            <a:xfrm>
              <a:off x="4670425" y="8905875"/>
              <a:ext cx="304058" cy="369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𝑑𝑝</m:t>
                        </m:r>
                      </m:num>
                      <m:den>
                        <m:sSub>
                          <m:sSub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𝜌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𝑎𝑣𝑔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63F4496F-B9F1-4EEA-8950-451D6FE7EE0A}"/>
                </a:ext>
              </a:extLst>
            </xdr:cNvPr>
            <xdr:cNvSpPr txBox="1"/>
          </xdr:nvSpPr>
          <xdr:spPr>
            <a:xfrm>
              <a:off x="4670425" y="8905875"/>
              <a:ext cx="304058" cy="369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𝑑𝑝/</a:t>
              </a:r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n-US" sz="1100" b="0" i="0">
                  <a:latin typeface="Cambria Math" panose="02040503050406030204" pitchFamily="18" charset="0"/>
                </a:rPr>
                <a:t>𝑎𝑣𝑔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18</xdr:col>
      <xdr:colOff>22225</xdr:colOff>
      <xdr:row>56</xdr:row>
      <xdr:rowOff>34925</xdr:rowOff>
    </xdr:from>
    <xdr:ext cx="498475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859A8FF3-2BD4-4980-915E-C5D71066953D}"/>
                </a:ext>
              </a:extLst>
            </xdr:cNvPr>
            <xdr:cNvSpPr txBox="1"/>
          </xdr:nvSpPr>
          <xdr:spPr>
            <a:xfrm>
              <a:off x="10423525" y="8943975"/>
              <a:ext cx="498475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f>
                          <m:f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𝑑𝑝</m:t>
                            </m:r>
                          </m:num>
                          <m:den>
                            <m:sSub>
                              <m:sSub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𝜌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𝑎𝑣𝑔</m:t>
                                </m:r>
                              </m:sub>
                            </m:sSub>
                          </m:den>
                        </m:f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859A8FF3-2BD4-4980-915E-C5D71066953D}"/>
                </a:ext>
              </a:extLst>
            </xdr:cNvPr>
            <xdr:cNvSpPr txBox="1"/>
          </xdr:nvSpPr>
          <xdr:spPr>
            <a:xfrm>
              <a:off x="10423525" y="8943975"/>
              <a:ext cx="498475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∑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▒𝑑𝑝/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𝜌_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𝑎𝑣𝑔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485775</xdr:colOff>
      <xdr:row>52</xdr:row>
      <xdr:rowOff>92075</xdr:rowOff>
    </xdr:from>
    <xdr:ext cx="1447127" cy="456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190DC9B9-38A0-4A37-B50D-8E89B171E704}"/>
                </a:ext>
              </a:extLst>
            </xdr:cNvPr>
            <xdr:cNvSpPr txBox="1"/>
          </xdr:nvSpPr>
          <xdr:spPr>
            <a:xfrm>
              <a:off x="6689725" y="8366125"/>
              <a:ext cx="1447127" cy="456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𝛼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1−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𝑥</m:t>
                            </m:r>
                          </m:e>
                        </m:d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∗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𝜌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𝑉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𝜌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𝐿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190DC9B9-38A0-4A37-B50D-8E89B171E704}"/>
                </a:ext>
              </a:extLst>
            </xdr:cNvPr>
            <xdr:cNvSpPr txBox="1"/>
          </xdr:nvSpPr>
          <xdr:spPr>
            <a:xfrm>
              <a:off x="6689725" y="8366125"/>
              <a:ext cx="1447127" cy="456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=𝑥/(𝑥+(1−𝑥)∗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𝜌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_𝑉/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𝜌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_𝐿 )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155575</xdr:colOff>
      <xdr:row>57</xdr:row>
      <xdr:rowOff>152400</xdr:rowOff>
    </xdr:from>
    <xdr:ext cx="17267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9810ABDF-0C0A-41A1-9137-F86E1CD08CB0}"/>
                </a:ext>
              </a:extLst>
            </xdr:cNvPr>
            <xdr:cNvSpPr txBox="1"/>
          </xdr:nvSpPr>
          <xdr:spPr>
            <a:xfrm>
              <a:off x="7464425" y="9226550"/>
              <a:ext cx="17267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𝑣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9810ABDF-0C0A-41A1-9137-F86E1CD08CB0}"/>
                </a:ext>
              </a:extLst>
            </xdr:cNvPr>
            <xdr:cNvSpPr txBox="1"/>
          </xdr:nvSpPr>
          <xdr:spPr>
            <a:xfrm>
              <a:off x="7464425" y="9226550"/>
              <a:ext cx="17267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n-US" sz="1100" b="0" i="0">
                  <a:latin typeface="Cambria Math" panose="02040503050406030204" pitchFamily="18" charset="0"/>
                </a:rPr>
                <a:t>𝑣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136525</xdr:colOff>
      <xdr:row>57</xdr:row>
      <xdr:rowOff>127000</xdr:rowOff>
    </xdr:from>
    <xdr:ext cx="17190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731CEA4F-B803-4C2E-832A-3CB50DF1FFA0}"/>
                </a:ext>
              </a:extLst>
            </xdr:cNvPr>
            <xdr:cNvSpPr txBox="1"/>
          </xdr:nvSpPr>
          <xdr:spPr>
            <a:xfrm>
              <a:off x="7966075" y="9201150"/>
              <a:ext cx="17190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𝐿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731CEA4F-B803-4C2E-832A-3CB50DF1FFA0}"/>
                </a:ext>
              </a:extLst>
            </xdr:cNvPr>
            <xdr:cNvSpPr txBox="1"/>
          </xdr:nvSpPr>
          <xdr:spPr>
            <a:xfrm>
              <a:off x="7966075" y="9201150"/>
              <a:ext cx="17190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n-US" sz="1100" b="0" i="0">
                  <a:latin typeface="Cambria Math" panose="02040503050406030204" pitchFamily="18" charset="0"/>
                </a:rPr>
                <a:t>𝐿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495300</xdr:colOff>
      <xdr:row>143</xdr:row>
      <xdr:rowOff>146050</xdr:rowOff>
    </xdr:from>
    <xdr:ext cx="1150508" cy="3781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8AA58729-754D-4F57-AD50-F02F832E7222}"/>
                </a:ext>
              </a:extLst>
            </xdr:cNvPr>
            <xdr:cNvSpPr txBox="1"/>
          </xdr:nvSpPr>
          <xdr:spPr>
            <a:xfrm>
              <a:off x="800100" y="22745700"/>
              <a:ext cx="1150508" cy="3781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0.04 </m:t>
                        </m:r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𝑊</m:t>
                        </m:r>
                      </m:num>
                      <m:den>
                        <m:sSub>
                          <m:sSub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</m:sub>
                        </m:sSub>
                        <m:sSub>
                          <m:sSubPr>
                            <m:ctrlPr>
                              <a:rPr lang="en-US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𝑏</m:t>
                            </m:r>
                          </m:sub>
                        </m:sSub>
                        <m:sSub>
                          <m:sSubPr>
                            <m:ctrlPr>
                              <a:rPr lang="en-US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𝑐</m:t>
                            </m:r>
                          </m:sub>
                        </m:sSub>
                        <m:sSub>
                          <m:sSubPr>
                            <m:ctrlPr>
                              <a:rPr lang="en-US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𝑣</m:t>
                            </m:r>
                          </m:sub>
                        </m:sSub>
                        <m:r>
                          <a:rPr lang="en-US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</m:t>
                        </m:r>
                      </m:den>
                    </m:f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8AA58729-754D-4F57-AD50-F02F832E7222}"/>
                </a:ext>
              </a:extLst>
            </xdr:cNvPr>
            <xdr:cNvSpPr txBox="1"/>
          </xdr:nvSpPr>
          <xdr:spPr>
            <a:xfrm>
              <a:off x="800100" y="22745700"/>
              <a:ext cx="1150508" cy="3781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200" b="0" i="0">
                  <a:latin typeface="Cambria Math" panose="02040503050406030204" pitchFamily="18" charset="0"/>
                </a:rPr>
                <a:t>𝐴=  (0.04 𝑊)/(𝐾_𝑑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𝐾_𝑏 𝐾_𝑐 𝐾_𝑣 𝐺)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</xdr:col>
      <xdr:colOff>95250</xdr:colOff>
      <xdr:row>170</xdr:row>
      <xdr:rowOff>133350</xdr:rowOff>
    </xdr:from>
    <xdr:ext cx="1913794" cy="3456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B7A767F5-B6DF-4F2B-91CC-E4B4644A9BB0}"/>
                </a:ext>
              </a:extLst>
            </xdr:cNvPr>
            <xdr:cNvSpPr txBox="1"/>
          </xdr:nvSpPr>
          <xdr:spPr>
            <a:xfrm>
              <a:off x="400050" y="27571700"/>
              <a:ext cx="1913794" cy="3456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b="0" i="1">
                        <a:latin typeface="Cambria Math" panose="02040503050406030204" pitchFamily="18" charset="0"/>
                      </a:rPr>
                      <m:t>𝑊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𝑏</m:t>
                            </m:r>
                          </m:sub>
                        </m:sSub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∗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num>
                      <m:den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0.04</m:t>
                        </m:r>
                      </m:den>
                    </m:f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B7A767F5-B6DF-4F2B-91CC-E4B4644A9BB0}"/>
                </a:ext>
              </a:extLst>
            </xdr:cNvPr>
            <xdr:cNvSpPr txBox="1"/>
          </xdr:nvSpPr>
          <xdr:spPr>
            <a:xfrm>
              <a:off x="400050" y="27571700"/>
              <a:ext cx="1913794" cy="3456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200" b="0" i="0">
                  <a:latin typeface="Cambria Math" panose="02040503050406030204" pitchFamily="18" charset="0"/>
                </a:rPr>
                <a:t>𝑊=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𝐴∗𝐾_𝑑∗𝐾_𝑏 〖∗𝐾〗_𝐶∗𝐾_𝑉∗𝐺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)/0.04</a:t>
              </a:r>
              <a:endParaRPr lang="en-US" sz="12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8243B-AA7F-407C-A8A2-B5FB559F3B20}">
  <sheetPr codeName="Sheet4"/>
  <dimension ref="A2:AB177"/>
  <sheetViews>
    <sheetView tabSelected="1" view="pageBreakPreview" topLeftCell="A10" zoomScale="115" zoomScaleNormal="100" zoomScaleSheetLayoutView="115" workbookViewId="0">
      <selection activeCell="E23" sqref="E23"/>
    </sheetView>
  </sheetViews>
  <sheetFormatPr defaultColWidth="8.81640625" defaultRowHeight="12.5" x14ac:dyDescent="0.25"/>
  <cols>
    <col min="1" max="1" width="8.81640625" style="1"/>
    <col min="2" max="2" width="13.26953125" style="1" customWidth="1"/>
    <col min="3" max="3" width="8.81640625" style="3" customWidth="1"/>
    <col min="4" max="4" width="8.81640625" style="4" customWidth="1"/>
    <col min="5" max="5" width="10.81640625" style="14" customWidth="1"/>
    <col min="6" max="6" width="8.36328125" style="1" customWidth="1"/>
    <col min="7" max="7" width="8.81640625" style="1"/>
    <col min="8" max="8" width="8.81640625" style="1" customWidth="1"/>
    <col min="9" max="9" width="11.36328125" style="1" bestFit="1" customWidth="1"/>
    <col min="10" max="13" width="8.81640625" style="1"/>
    <col min="14" max="14" width="5.1796875" style="1" customWidth="1"/>
    <col min="15" max="15" width="6.453125" style="1" customWidth="1"/>
    <col min="16" max="16" width="6.08984375" style="1" customWidth="1"/>
    <col min="17" max="17" width="9" style="1" customWidth="1"/>
    <col min="18" max="18" width="5.453125" style="1" customWidth="1"/>
    <col min="19" max="19" width="6.7265625" style="1" customWidth="1"/>
    <col min="20" max="20" width="6.453125" style="1" customWidth="1"/>
    <col min="21" max="21" width="6.54296875" style="1" customWidth="1"/>
    <col min="22" max="22" width="5.453125" style="1" customWidth="1"/>
    <col min="23" max="23" width="6.1796875" style="1" customWidth="1"/>
    <col min="24" max="24" width="5.54296875" style="1" customWidth="1"/>
    <col min="25" max="25" width="5.90625" style="1" customWidth="1"/>
    <col min="26" max="26" width="5.1796875" style="1" customWidth="1"/>
    <col min="27" max="27" width="5.54296875" style="1" customWidth="1"/>
    <col min="28" max="28" width="6.36328125" style="1" customWidth="1"/>
    <col min="29" max="16384" width="8.81640625" style="1"/>
  </cols>
  <sheetData>
    <row r="2" spans="1:28" ht="18" x14ac:dyDescent="0.4">
      <c r="B2" s="48" t="s">
        <v>234</v>
      </c>
      <c r="C2" s="49"/>
      <c r="D2" s="50"/>
    </row>
    <row r="3" spans="1:28" x14ac:dyDescent="0.25">
      <c r="G3" s="34"/>
      <c r="J3" s="34"/>
      <c r="K3" s="34"/>
    </row>
    <row r="4" spans="1:28" ht="13" x14ac:dyDescent="0.3">
      <c r="A4" s="51" t="s">
        <v>82</v>
      </c>
      <c r="B4" s="2" t="s">
        <v>83</v>
      </c>
      <c r="N4" s="2" t="s">
        <v>30</v>
      </c>
    </row>
    <row r="5" spans="1:28" ht="13" x14ac:dyDescent="0.3">
      <c r="A5" s="51"/>
      <c r="B5" s="2"/>
      <c r="E5" s="52"/>
    </row>
    <row r="6" spans="1:28" ht="13" x14ac:dyDescent="0.3">
      <c r="A6" s="51"/>
      <c r="B6" s="2"/>
      <c r="C6" s="3" t="s">
        <v>106</v>
      </c>
      <c r="D6" s="4" t="s">
        <v>0</v>
      </c>
      <c r="E6" s="52">
        <v>4</v>
      </c>
      <c r="N6" s="113" t="s">
        <v>31</v>
      </c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</row>
    <row r="7" spans="1:28" ht="13" x14ac:dyDescent="0.3">
      <c r="A7" s="51"/>
      <c r="B7" s="2"/>
      <c r="C7" s="3" t="s">
        <v>6</v>
      </c>
      <c r="D7" s="4" t="s">
        <v>0</v>
      </c>
      <c r="E7" s="52">
        <v>40</v>
      </c>
      <c r="N7" s="37" t="s">
        <v>20</v>
      </c>
      <c r="O7" s="113" t="s">
        <v>32</v>
      </c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</row>
    <row r="8" spans="1:28" ht="13" x14ac:dyDescent="0.3">
      <c r="A8" s="51"/>
      <c r="B8" s="2"/>
      <c r="C8" s="3" t="s">
        <v>107</v>
      </c>
      <c r="D8" s="4" t="s">
        <v>0</v>
      </c>
      <c r="E8" s="52">
        <f>VLOOKUP(E6,N10:AB45,HLOOKUP(E7,O8:AB9,2,FALSE),FALSE)</f>
        <v>4.0259999999999998</v>
      </c>
      <c r="F8" s="1" t="s">
        <v>5</v>
      </c>
      <c r="N8" s="12"/>
      <c r="O8" s="12">
        <v>5</v>
      </c>
      <c r="P8" s="12">
        <v>10</v>
      </c>
      <c r="Q8" s="12">
        <v>20</v>
      </c>
      <c r="R8" s="12">
        <v>30</v>
      </c>
      <c r="S8" s="12">
        <v>40</v>
      </c>
      <c r="T8" s="12">
        <v>60</v>
      </c>
      <c r="U8" s="12">
        <v>80</v>
      </c>
      <c r="V8" s="12">
        <v>100</v>
      </c>
      <c r="W8" s="12">
        <v>120</v>
      </c>
      <c r="X8" s="12">
        <v>140</v>
      </c>
      <c r="Y8" s="12">
        <v>160</v>
      </c>
      <c r="Z8" s="12" t="s">
        <v>33</v>
      </c>
      <c r="AA8" s="12" t="s">
        <v>34</v>
      </c>
      <c r="AB8" s="12" t="s">
        <v>35</v>
      </c>
    </row>
    <row r="9" spans="1:28" ht="13" x14ac:dyDescent="0.3">
      <c r="A9" s="51"/>
      <c r="B9" s="2"/>
      <c r="E9" s="52"/>
      <c r="N9" s="12"/>
      <c r="O9" s="12">
        <v>2</v>
      </c>
      <c r="P9" s="12">
        <f>O9+1</f>
        <v>3</v>
      </c>
      <c r="Q9" s="12">
        <f t="shared" ref="Q9:AB9" si="0">P9+1</f>
        <v>4</v>
      </c>
      <c r="R9" s="12">
        <f t="shared" si="0"/>
        <v>5</v>
      </c>
      <c r="S9" s="12">
        <f t="shared" si="0"/>
        <v>6</v>
      </c>
      <c r="T9" s="12">
        <f t="shared" si="0"/>
        <v>7</v>
      </c>
      <c r="U9" s="12">
        <f t="shared" si="0"/>
        <v>8</v>
      </c>
      <c r="V9" s="12">
        <f t="shared" si="0"/>
        <v>9</v>
      </c>
      <c r="W9" s="12">
        <f t="shared" si="0"/>
        <v>10</v>
      </c>
      <c r="X9" s="12">
        <f t="shared" si="0"/>
        <v>11</v>
      </c>
      <c r="Y9" s="12">
        <f>X9+1</f>
        <v>12</v>
      </c>
      <c r="Z9" s="12">
        <f t="shared" si="0"/>
        <v>13</v>
      </c>
      <c r="AA9" s="12">
        <f t="shared" si="0"/>
        <v>14</v>
      </c>
      <c r="AB9" s="12">
        <f t="shared" si="0"/>
        <v>15</v>
      </c>
    </row>
    <row r="10" spans="1:28" ht="13" x14ac:dyDescent="0.3">
      <c r="A10" s="51"/>
      <c r="B10" s="2"/>
      <c r="C10" s="3" t="s">
        <v>108</v>
      </c>
      <c r="D10" s="4" t="s">
        <v>0</v>
      </c>
      <c r="E10" s="11">
        <f>(PI()/4)*(E8^2)</f>
        <v>12.730264361504297</v>
      </c>
      <c r="F10" s="1" t="s">
        <v>38</v>
      </c>
      <c r="N10" s="32">
        <f>1/8</f>
        <v>0.125</v>
      </c>
      <c r="O10" s="12" t="s">
        <v>15</v>
      </c>
      <c r="P10" s="23">
        <v>0.307</v>
      </c>
      <c r="Q10" s="12" t="s">
        <v>15</v>
      </c>
      <c r="R10" s="12" t="s">
        <v>15</v>
      </c>
      <c r="S10" s="23">
        <v>0.26900000000000002</v>
      </c>
      <c r="T10" s="23" t="s">
        <v>15</v>
      </c>
      <c r="U10" s="23">
        <v>0.215</v>
      </c>
      <c r="V10" s="23" t="s">
        <v>15</v>
      </c>
      <c r="W10" s="23" t="s">
        <v>15</v>
      </c>
      <c r="X10" s="23" t="s">
        <v>15</v>
      </c>
      <c r="Y10" s="23" t="s">
        <v>15</v>
      </c>
      <c r="Z10" s="12"/>
      <c r="AA10" s="12"/>
      <c r="AB10" s="23" t="s">
        <v>15</v>
      </c>
    </row>
    <row r="11" spans="1:28" ht="13" x14ac:dyDescent="0.3">
      <c r="A11" s="51"/>
      <c r="B11" s="2"/>
      <c r="C11" s="3" t="s">
        <v>105</v>
      </c>
      <c r="D11" s="4" t="s">
        <v>0</v>
      </c>
      <c r="E11" s="27">
        <f>'PSV Sizing-HEM Direct Int Meth'!D182</f>
        <v>124524.64104912986</v>
      </c>
      <c r="F11" s="1" t="s">
        <v>9</v>
      </c>
      <c r="N11" s="32">
        <v>0.25</v>
      </c>
      <c r="O11" s="12" t="s">
        <v>15</v>
      </c>
      <c r="P11" s="23">
        <v>0.41</v>
      </c>
      <c r="Q11" s="12" t="s">
        <v>15</v>
      </c>
      <c r="R11" s="12" t="s">
        <v>15</v>
      </c>
      <c r="S11" s="23">
        <v>0.36399999999999999</v>
      </c>
      <c r="T11" s="23" t="s">
        <v>15</v>
      </c>
      <c r="U11" s="23">
        <v>0.30199999999999999</v>
      </c>
      <c r="V11" s="23" t="s">
        <v>15</v>
      </c>
      <c r="W11" s="23" t="s">
        <v>15</v>
      </c>
      <c r="X11" s="23" t="s">
        <v>15</v>
      </c>
      <c r="Y11" s="23" t="s">
        <v>15</v>
      </c>
      <c r="Z11" s="12"/>
      <c r="AA11" s="12"/>
      <c r="AB11" s="23" t="s">
        <v>15</v>
      </c>
    </row>
    <row r="12" spans="1:28" ht="13" x14ac:dyDescent="0.3">
      <c r="A12" s="51"/>
      <c r="B12" s="2"/>
      <c r="E12" s="11"/>
      <c r="N12" s="32">
        <v>0.375</v>
      </c>
      <c r="O12" s="12" t="s">
        <v>15</v>
      </c>
      <c r="P12" s="23">
        <v>0.54500000000000004</v>
      </c>
      <c r="Q12" s="12" t="s">
        <v>15</v>
      </c>
      <c r="R12" s="12" t="s">
        <v>15</v>
      </c>
      <c r="S12" s="23">
        <v>0.49299999999999999</v>
      </c>
      <c r="T12" s="23" t="s">
        <v>15</v>
      </c>
      <c r="U12" s="23">
        <v>0.42299999999999999</v>
      </c>
      <c r="V12" s="23" t="s">
        <v>15</v>
      </c>
      <c r="W12" s="23" t="s">
        <v>15</v>
      </c>
      <c r="X12" s="23" t="s">
        <v>15</v>
      </c>
      <c r="Y12" s="23" t="s">
        <v>15</v>
      </c>
      <c r="Z12" s="12"/>
      <c r="AA12" s="12"/>
      <c r="AB12" s="23" t="s">
        <v>15</v>
      </c>
    </row>
    <row r="13" spans="1:28" ht="13" x14ac:dyDescent="0.3">
      <c r="A13" s="51"/>
      <c r="B13" s="2"/>
      <c r="C13" s="3" t="s">
        <v>109</v>
      </c>
      <c r="D13" s="4" t="s">
        <v>0</v>
      </c>
      <c r="E13" s="11">
        <f>E11/E10</f>
        <v>9781.7796640332417</v>
      </c>
      <c r="F13" s="1" t="s">
        <v>110</v>
      </c>
      <c r="N13" s="32">
        <v>0.5</v>
      </c>
      <c r="O13" s="23">
        <v>0.71</v>
      </c>
      <c r="P13" s="23">
        <v>0.67400000000000004</v>
      </c>
      <c r="Q13" s="12" t="s">
        <v>15</v>
      </c>
      <c r="R13" s="12" t="s">
        <v>15</v>
      </c>
      <c r="S13" s="23">
        <v>0.622</v>
      </c>
      <c r="T13" s="23" t="s">
        <v>15</v>
      </c>
      <c r="U13" s="23">
        <v>0.54600000000000004</v>
      </c>
      <c r="V13" s="23" t="s">
        <v>15</v>
      </c>
      <c r="W13" s="23" t="s">
        <v>15</v>
      </c>
      <c r="X13" s="23" t="s">
        <v>15</v>
      </c>
      <c r="Y13" s="23">
        <v>0.46400000000000002</v>
      </c>
      <c r="Z13" s="12"/>
      <c r="AA13" s="12"/>
      <c r="AB13" s="23">
        <v>0.252</v>
      </c>
    </row>
    <row r="14" spans="1:28" ht="13" x14ac:dyDescent="0.3">
      <c r="A14" s="51"/>
      <c r="N14" s="32">
        <v>0.75</v>
      </c>
      <c r="O14" s="23">
        <v>0.92</v>
      </c>
      <c r="P14" s="23">
        <v>0.88400000000000001</v>
      </c>
      <c r="Q14" s="12" t="s">
        <v>15</v>
      </c>
      <c r="R14" s="12" t="s">
        <v>15</v>
      </c>
      <c r="S14" s="23">
        <v>0.82399999999999995</v>
      </c>
      <c r="T14" s="23" t="s">
        <v>15</v>
      </c>
      <c r="U14" s="23">
        <v>0.74199999999999999</v>
      </c>
      <c r="V14" s="23" t="s">
        <v>15</v>
      </c>
      <c r="W14" s="23" t="s">
        <v>15</v>
      </c>
      <c r="X14" s="23" t="s">
        <v>15</v>
      </c>
      <c r="Y14" s="23">
        <v>0.61199999999999999</v>
      </c>
      <c r="Z14" s="12"/>
      <c r="AA14" s="12"/>
      <c r="AB14" s="23">
        <v>0.434</v>
      </c>
    </row>
    <row r="15" spans="1:28" ht="13" x14ac:dyDescent="0.3">
      <c r="A15" s="2">
        <v>1</v>
      </c>
      <c r="B15" s="2" t="s">
        <v>84</v>
      </c>
      <c r="C15" s="13" t="s">
        <v>90</v>
      </c>
      <c r="E15" s="47"/>
      <c r="N15" s="33">
        <v>1</v>
      </c>
      <c r="O15" s="23">
        <v>1.1850000000000001</v>
      </c>
      <c r="P15" s="23">
        <v>1.097</v>
      </c>
      <c r="Q15" s="12" t="s">
        <v>15</v>
      </c>
      <c r="R15" s="12" t="s">
        <v>15</v>
      </c>
      <c r="S15" s="23">
        <v>1.0489999999999999</v>
      </c>
      <c r="T15" s="23" t="s">
        <v>15</v>
      </c>
      <c r="U15" s="23">
        <v>0.95699999999999996</v>
      </c>
      <c r="V15" s="23" t="s">
        <v>15</v>
      </c>
      <c r="W15" s="23" t="s">
        <v>15</v>
      </c>
      <c r="X15" s="23" t="s">
        <v>15</v>
      </c>
      <c r="Y15" s="23">
        <v>0.81499999999999995</v>
      </c>
      <c r="Z15" s="12"/>
      <c r="AA15" s="12"/>
      <c r="AB15" s="23">
        <v>0.51900000000000002</v>
      </c>
    </row>
    <row r="16" spans="1:28" x14ac:dyDescent="0.25">
      <c r="N16" s="32">
        <v>1.25</v>
      </c>
      <c r="O16" s="23">
        <v>1.53</v>
      </c>
      <c r="P16" s="23">
        <v>1.4419999999999999</v>
      </c>
      <c r="Q16" s="12" t="s">
        <v>15</v>
      </c>
      <c r="R16" s="12" t="s">
        <v>15</v>
      </c>
      <c r="S16" s="23">
        <v>1.38</v>
      </c>
      <c r="T16" s="23" t="s">
        <v>15</v>
      </c>
      <c r="U16" s="23">
        <v>1.278</v>
      </c>
      <c r="V16" s="23" t="s">
        <v>15</v>
      </c>
      <c r="W16" s="23" t="s">
        <v>15</v>
      </c>
      <c r="X16" s="23" t="s">
        <v>15</v>
      </c>
      <c r="Y16" s="23">
        <v>1.1599999999999999</v>
      </c>
      <c r="Z16" s="12"/>
      <c r="AA16" s="12"/>
      <c r="AB16" s="23">
        <v>0.89600000000000002</v>
      </c>
    </row>
    <row r="17" spans="1:28" x14ac:dyDescent="0.25">
      <c r="C17" s="3" t="s">
        <v>85</v>
      </c>
      <c r="D17" s="4" t="s">
        <v>0</v>
      </c>
      <c r="E17" s="14">
        <v>72.5</v>
      </c>
      <c r="F17" s="1" t="s">
        <v>3</v>
      </c>
      <c r="N17" s="32">
        <v>1.5</v>
      </c>
      <c r="O17" s="23">
        <v>1.77</v>
      </c>
      <c r="P17" s="23">
        <v>1.6819999999999999</v>
      </c>
      <c r="Q17" s="12" t="s">
        <v>15</v>
      </c>
      <c r="R17" s="12" t="s">
        <v>15</v>
      </c>
      <c r="S17" s="23">
        <v>1.61</v>
      </c>
      <c r="T17" s="23" t="s">
        <v>15</v>
      </c>
      <c r="U17" s="23">
        <v>1.5</v>
      </c>
      <c r="V17" s="23" t="s">
        <v>15</v>
      </c>
      <c r="W17" s="23" t="s">
        <v>15</v>
      </c>
      <c r="X17" s="23" t="s">
        <v>15</v>
      </c>
      <c r="Y17" s="23">
        <v>1.3380000000000001</v>
      </c>
      <c r="Z17" s="12"/>
      <c r="AA17" s="12"/>
      <c r="AB17" s="23">
        <v>1.1000000000000001</v>
      </c>
    </row>
    <row r="18" spans="1:28" x14ac:dyDescent="0.25">
      <c r="C18" s="3" t="s">
        <v>86</v>
      </c>
      <c r="D18" s="4" t="s">
        <v>0</v>
      </c>
      <c r="E18" s="14" t="s">
        <v>87</v>
      </c>
      <c r="N18" s="33">
        <v>2</v>
      </c>
      <c r="O18" s="23">
        <v>2.2450000000000001</v>
      </c>
      <c r="P18" s="23">
        <v>2.157</v>
      </c>
      <c r="Q18" s="12" t="s">
        <v>15</v>
      </c>
      <c r="R18" s="12" t="s">
        <v>15</v>
      </c>
      <c r="S18" s="23">
        <v>2.0670000000000002</v>
      </c>
      <c r="T18" s="23" t="s">
        <v>15</v>
      </c>
      <c r="U18" s="23">
        <v>1.9390000000000001</v>
      </c>
      <c r="V18" s="23" t="s">
        <v>15</v>
      </c>
      <c r="W18" s="23" t="s">
        <v>15</v>
      </c>
      <c r="X18" s="23" t="s">
        <v>15</v>
      </c>
      <c r="Y18" s="23">
        <v>1.6870000000000001</v>
      </c>
      <c r="Z18" s="12"/>
      <c r="AA18" s="12"/>
      <c r="AB18" s="23">
        <v>1.5029999999999999</v>
      </c>
    </row>
    <row r="19" spans="1:28" x14ac:dyDescent="0.25">
      <c r="C19" s="3" t="s">
        <v>88</v>
      </c>
      <c r="D19" s="4" t="s">
        <v>0</v>
      </c>
      <c r="E19" s="14">
        <f>0.3*E17</f>
        <v>21.75</v>
      </c>
      <c r="F19" s="1" t="s">
        <v>3</v>
      </c>
      <c r="G19" s="1" t="s">
        <v>212</v>
      </c>
      <c r="N19" s="32">
        <v>2.5</v>
      </c>
      <c r="O19" s="23">
        <v>2.7090000000000001</v>
      </c>
      <c r="P19" s="23">
        <v>2.6349999999999998</v>
      </c>
      <c r="Q19" s="12" t="s">
        <v>15</v>
      </c>
      <c r="R19" s="12" t="s">
        <v>15</v>
      </c>
      <c r="S19" s="23">
        <v>2.4689999999999999</v>
      </c>
      <c r="T19" s="23" t="s">
        <v>15</v>
      </c>
      <c r="U19" s="23">
        <v>2.323</v>
      </c>
      <c r="V19" s="23" t="s">
        <v>15</v>
      </c>
      <c r="W19" s="23" t="s">
        <v>15</v>
      </c>
      <c r="X19" s="23" t="s">
        <v>15</v>
      </c>
      <c r="Y19" s="23">
        <v>2.125</v>
      </c>
      <c r="Z19" s="12"/>
      <c r="AA19" s="12"/>
      <c r="AB19" s="23">
        <v>1.7709999999999999</v>
      </c>
    </row>
    <row r="20" spans="1:28" x14ac:dyDescent="0.25">
      <c r="D20" s="4" t="s">
        <v>0</v>
      </c>
      <c r="E20" s="86">
        <f>E19+14.7</f>
        <v>36.450000000000003</v>
      </c>
      <c r="F20" s="1" t="s">
        <v>1</v>
      </c>
      <c r="N20" s="33">
        <v>3</v>
      </c>
      <c r="O20" s="23">
        <v>3.3340000000000001</v>
      </c>
      <c r="P20" s="23">
        <v>3.26</v>
      </c>
      <c r="Q20" s="12" t="s">
        <v>15</v>
      </c>
      <c r="R20" s="12" t="s">
        <v>15</v>
      </c>
      <c r="S20" s="23">
        <v>3.0680000000000001</v>
      </c>
      <c r="T20" s="23" t="s">
        <v>15</v>
      </c>
      <c r="U20" s="23">
        <v>2.9</v>
      </c>
      <c r="V20" s="23" t="s">
        <v>15</v>
      </c>
      <c r="W20" s="23" t="s">
        <v>15</v>
      </c>
      <c r="X20" s="23" t="s">
        <v>15</v>
      </c>
      <c r="Y20" s="23">
        <v>2.6240000000000001</v>
      </c>
      <c r="Z20" s="12"/>
      <c r="AA20" s="12"/>
      <c r="AB20" s="23">
        <v>2.2999999999999998</v>
      </c>
    </row>
    <row r="21" spans="1:28" x14ac:dyDescent="0.25">
      <c r="N21" s="32">
        <v>3.5</v>
      </c>
      <c r="O21" s="23">
        <v>3.8340000000000001</v>
      </c>
      <c r="P21" s="23">
        <v>3.76</v>
      </c>
      <c r="Q21" s="12" t="s">
        <v>15</v>
      </c>
      <c r="R21" s="12" t="s">
        <v>15</v>
      </c>
      <c r="S21" s="23">
        <v>3.548</v>
      </c>
      <c r="T21" s="23" t="s">
        <v>15</v>
      </c>
      <c r="U21" s="23">
        <v>3.3639999999999999</v>
      </c>
      <c r="V21" s="23" t="s">
        <v>15</v>
      </c>
      <c r="W21" s="23" t="s">
        <v>15</v>
      </c>
      <c r="X21" s="23" t="s">
        <v>15</v>
      </c>
      <c r="Y21" s="23" t="s">
        <v>15</v>
      </c>
      <c r="Z21" s="12"/>
      <c r="AA21" s="12"/>
      <c r="AB21" s="23">
        <v>2.7280000000000002</v>
      </c>
    </row>
    <row r="22" spans="1:28" x14ac:dyDescent="0.25">
      <c r="C22" s="3" t="s">
        <v>89</v>
      </c>
      <c r="D22" s="4" t="s">
        <v>0</v>
      </c>
      <c r="E22" s="14">
        <f>E19</f>
        <v>21.75</v>
      </c>
      <c r="F22" s="1" t="s">
        <v>3</v>
      </c>
      <c r="N22" s="33">
        <v>4</v>
      </c>
      <c r="O22" s="23">
        <v>4.3339999999999996</v>
      </c>
      <c r="P22" s="23">
        <v>4.26</v>
      </c>
      <c r="Q22" s="12" t="s">
        <v>15</v>
      </c>
      <c r="R22" s="12" t="s">
        <v>15</v>
      </c>
      <c r="S22" s="23">
        <v>4.0259999999999998</v>
      </c>
      <c r="T22" s="23" t="s">
        <v>15</v>
      </c>
      <c r="U22" s="23">
        <v>3.8260000000000001</v>
      </c>
      <c r="V22" s="23" t="s">
        <v>15</v>
      </c>
      <c r="W22" s="23">
        <v>3.6240000000000001</v>
      </c>
      <c r="X22" s="23" t="s">
        <v>15</v>
      </c>
      <c r="Y22" s="23">
        <v>3.4380000000000002</v>
      </c>
      <c r="Z22" s="12"/>
      <c r="AA22" s="12"/>
      <c r="AB22" s="23">
        <v>3.1520000000000001</v>
      </c>
    </row>
    <row r="23" spans="1:28" x14ac:dyDescent="0.25">
      <c r="D23" s="4" t="s">
        <v>0</v>
      </c>
      <c r="E23" s="14">
        <f>E22+14.7</f>
        <v>36.450000000000003</v>
      </c>
      <c r="F23" s="1" t="s">
        <v>1</v>
      </c>
      <c r="N23" s="32">
        <v>4.5</v>
      </c>
      <c r="O23" s="12" t="s">
        <v>15</v>
      </c>
      <c r="P23" s="12" t="s">
        <v>15</v>
      </c>
      <c r="Q23" s="12" t="s">
        <v>15</v>
      </c>
      <c r="R23" s="12" t="s">
        <v>15</v>
      </c>
      <c r="S23" s="23">
        <v>4.5060000000000002</v>
      </c>
      <c r="T23" s="23" t="s">
        <v>15</v>
      </c>
      <c r="U23" s="23">
        <v>4.29</v>
      </c>
      <c r="V23" s="23" t="s">
        <v>15</v>
      </c>
      <c r="W23" s="23" t="s">
        <v>15</v>
      </c>
      <c r="X23" s="23" t="s">
        <v>15</v>
      </c>
      <c r="Y23" s="23" t="s">
        <v>15</v>
      </c>
      <c r="Z23" s="12"/>
      <c r="AA23" s="12"/>
      <c r="AB23" s="23">
        <v>3.58</v>
      </c>
    </row>
    <row r="24" spans="1:28" ht="13" x14ac:dyDescent="0.3">
      <c r="B24" s="2" t="s">
        <v>222</v>
      </c>
      <c r="E24" s="11"/>
      <c r="N24" s="33">
        <v>5</v>
      </c>
      <c r="O24" s="23">
        <v>5.3449999999999998</v>
      </c>
      <c r="P24" s="23">
        <v>5.2949999999999999</v>
      </c>
      <c r="Q24" s="12" t="s">
        <v>15</v>
      </c>
      <c r="R24" s="12" t="s">
        <v>15</v>
      </c>
      <c r="S24" s="23">
        <v>5.0469999999999997</v>
      </c>
      <c r="T24" s="23" t="s">
        <v>15</v>
      </c>
      <c r="U24" s="23">
        <v>4.8129999999999997</v>
      </c>
      <c r="V24" s="23"/>
      <c r="W24" s="23">
        <v>4.5629999999999997</v>
      </c>
      <c r="X24" s="23" t="s">
        <v>15</v>
      </c>
      <c r="Y24" s="23">
        <v>4.3129999999999997</v>
      </c>
      <c r="Z24" s="12"/>
      <c r="AA24" s="12"/>
      <c r="AB24" s="23">
        <v>4.0629999999999997</v>
      </c>
    </row>
    <row r="25" spans="1:28" x14ac:dyDescent="0.25">
      <c r="C25" s="3" t="s">
        <v>223</v>
      </c>
      <c r="D25" s="4" t="s">
        <v>0</v>
      </c>
      <c r="E25" s="11">
        <f>1.1*E17</f>
        <v>79.75</v>
      </c>
      <c r="F25" s="1" t="s">
        <v>3</v>
      </c>
      <c r="N25" s="33">
        <v>6</v>
      </c>
      <c r="O25" s="23">
        <v>6.407</v>
      </c>
      <c r="P25" s="23">
        <v>6.3570000000000002</v>
      </c>
      <c r="Q25" s="12" t="s">
        <v>15</v>
      </c>
      <c r="R25" s="12" t="s">
        <v>15</v>
      </c>
      <c r="S25" s="23">
        <v>6.0650000000000004</v>
      </c>
      <c r="T25" s="23" t="s">
        <v>15</v>
      </c>
      <c r="U25" s="23">
        <v>5.7610000000000001</v>
      </c>
      <c r="V25" s="23" t="s">
        <v>15</v>
      </c>
      <c r="W25" s="23">
        <v>5.5010000000000003</v>
      </c>
      <c r="X25" s="23" t="s">
        <v>15</v>
      </c>
      <c r="Y25" s="23">
        <v>5.1870000000000003</v>
      </c>
      <c r="Z25" s="12"/>
      <c r="AA25" s="12"/>
      <c r="AB25" s="23">
        <v>4.8970000000000002</v>
      </c>
    </row>
    <row r="26" spans="1:28" x14ac:dyDescent="0.25">
      <c r="D26" s="4" t="s">
        <v>0</v>
      </c>
      <c r="E26" s="29">
        <f>E25+14.7</f>
        <v>94.45</v>
      </c>
      <c r="F26" s="1" t="s">
        <v>1</v>
      </c>
      <c r="N26" s="33">
        <v>7</v>
      </c>
      <c r="O26" s="23" t="s">
        <v>15</v>
      </c>
      <c r="P26" s="23" t="s">
        <v>15</v>
      </c>
      <c r="Q26" s="12" t="s">
        <v>15</v>
      </c>
      <c r="R26" s="12" t="s">
        <v>15</v>
      </c>
      <c r="S26" s="23">
        <v>7.0229999999999997</v>
      </c>
      <c r="T26" s="23" t="s">
        <v>15</v>
      </c>
      <c r="U26" s="23">
        <v>6.625</v>
      </c>
      <c r="V26" s="23" t="s">
        <v>15</v>
      </c>
      <c r="W26" s="23" t="s">
        <v>15</v>
      </c>
      <c r="X26" s="23" t="s">
        <v>15</v>
      </c>
      <c r="Y26" s="23" t="s">
        <v>15</v>
      </c>
      <c r="Z26" s="12"/>
      <c r="AA26" s="12"/>
      <c r="AB26" s="23">
        <v>5.875</v>
      </c>
    </row>
    <row r="27" spans="1:28" x14ac:dyDescent="0.25">
      <c r="C27" s="3" t="s">
        <v>224</v>
      </c>
      <c r="D27" s="4" t="s">
        <v>0</v>
      </c>
      <c r="E27" s="54">
        <v>248</v>
      </c>
      <c r="F27" s="1" t="s">
        <v>2</v>
      </c>
      <c r="N27" s="33">
        <v>8</v>
      </c>
      <c r="O27" s="23">
        <v>8.407</v>
      </c>
      <c r="P27" s="23">
        <v>8.3290000000000006</v>
      </c>
      <c r="Q27" s="23">
        <v>8.125</v>
      </c>
      <c r="R27" s="23">
        <v>8.0709999999999997</v>
      </c>
      <c r="S27" s="23">
        <v>7.98</v>
      </c>
      <c r="T27" s="23">
        <v>7.8129999999999997</v>
      </c>
      <c r="U27" s="23">
        <v>7.625</v>
      </c>
      <c r="V27" s="23">
        <v>7.4370000000000003</v>
      </c>
      <c r="W27" s="23">
        <v>7.1870000000000003</v>
      </c>
      <c r="X27" s="23">
        <v>7.0010000000000003</v>
      </c>
      <c r="Y27" s="23">
        <v>6.8129999999999997</v>
      </c>
      <c r="Z27" s="12"/>
      <c r="AA27" s="12"/>
      <c r="AB27" s="23">
        <v>6.875</v>
      </c>
    </row>
    <row r="28" spans="1:28" x14ac:dyDescent="0.25">
      <c r="C28" s="3" t="s">
        <v>93</v>
      </c>
      <c r="D28" s="4" t="s">
        <v>0</v>
      </c>
      <c r="E28" s="11" t="s">
        <v>81</v>
      </c>
      <c r="N28" s="33">
        <v>9</v>
      </c>
      <c r="O28" s="23" t="s">
        <v>15</v>
      </c>
      <c r="P28" s="23" t="s">
        <v>15</v>
      </c>
      <c r="Q28" s="23" t="s">
        <v>15</v>
      </c>
      <c r="R28" s="23" t="s">
        <v>15</v>
      </c>
      <c r="S28" s="23">
        <v>8.9410000000000007</v>
      </c>
      <c r="T28" s="23" t="s">
        <v>15</v>
      </c>
      <c r="U28" s="23">
        <v>8.625</v>
      </c>
      <c r="V28" s="23" t="s">
        <v>15</v>
      </c>
      <c r="W28" s="23" t="s">
        <v>15</v>
      </c>
      <c r="X28" s="23" t="s">
        <v>15</v>
      </c>
      <c r="Y28" s="23" t="s">
        <v>15</v>
      </c>
      <c r="Z28" s="12"/>
      <c r="AA28" s="12"/>
      <c r="AB28" s="23">
        <v>7.875</v>
      </c>
    </row>
    <row r="29" spans="1:28" x14ac:dyDescent="0.25">
      <c r="C29" s="3" t="s">
        <v>91</v>
      </c>
      <c r="D29" s="4" t="s">
        <v>0</v>
      </c>
      <c r="E29" s="7">
        <v>216.517</v>
      </c>
      <c r="F29" s="1" t="s">
        <v>75</v>
      </c>
      <c r="N29" s="33">
        <v>10</v>
      </c>
      <c r="O29" s="23">
        <v>10.481999999999999</v>
      </c>
      <c r="P29" s="23">
        <v>10.42</v>
      </c>
      <c r="Q29" s="23">
        <v>10.25</v>
      </c>
      <c r="R29" s="23">
        <v>10.135999999999999</v>
      </c>
      <c r="S29" s="23">
        <v>10.02</v>
      </c>
      <c r="T29" s="23">
        <v>9.75</v>
      </c>
      <c r="U29" s="23">
        <v>9.5619999999999994</v>
      </c>
      <c r="V29" s="23">
        <v>9.3119999999999994</v>
      </c>
      <c r="W29" s="23">
        <v>9.0619999999999994</v>
      </c>
      <c r="X29" s="23">
        <v>8.75</v>
      </c>
      <c r="Y29" s="23">
        <v>8.5</v>
      </c>
      <c r="Z29" s="12"/>
      <c r="AA29" s="12"/>
      <c r="AB29" s="12" t="s">
        <v>15</v>
      </c>
    </row>
    <row r="30" spans="1:28" x14ac:dyDescent="0.25">
      <c r="C30" s="3" t="s">
        <v>92</v>
      </c>
      <c r="D30" s="4" t="s">
        <v>0</v>
      </c>
      <c r="E30" s="30">
        <v>58.8904</v>
      </c>
      <c r="F30" s="1" t="s">
        <v>8</v>
      </c>
      <c r="N30" s="33">
        <v>11</v>
      </c>
      <c r="O30" s="23" t="s">
        <v>15</v>
      </c>
      <c r="P30" s="23" t="s">
        <v>15</v>
      </c>
      <c r="Q30" s="23" t="s">
        <v>15</v>
      </c>
      <c r="R30" s="23" t="s">
        <v>15</v>
      </c>
      <c r="S30" s="23">
        <v>11</v>
      </c>
      <c r="T30" s="23" t="s">
        <v>15</v>
      </c>
      <c r="U30" s="23">
        <v>10.78</v>
      </c>
      <c r="V30" s="23" t="s">
        <v>15</v>
      </c>
      <c r="W30" s="23" t="s">
        <v>15</v>
      </c>
      <c r="X30" s="23" t="s">
        <v>15</v>
      </c>
      <c r="Y30" s="23" t="s">
        <v>15</v>
      </c>
      <c r="Z30" s="12"/>
      <c r="AA30" s="12"/>
      <c r="AB30" s="23">
        <v>10</v>
      </c>
    </row>
    <row r="31" spans="1:28" x14ac:dyDescent="0.25">
      <c r="E31" s="11"/>
      <c r="N31" s="33">
        <v>12</v>
      </c>
      <c r="O31" s="23">
        <v>12.438000000000001</v>
      </c>
      <c r="P31" s="23">
        <v>12.39</v>
      </c>
      <c r="Q31" s="23">
        <v>12.25</v>
      </c>
      <c r="R31" s="23">
        <v>12.09</v>
      </c>
      <c r="S31" s="23">
        <v>11.938000000000001</v>
      </c>
      <c r="T31" s="23">
        <v>11.625999999999999</v>
      </c>
      <c r="U31" s="23">
        <v>11.374000000000001</v>
      </c>
      <c r="V31" s="23">
        <v>11.061999999999999</v>
      </c>
      <c r="W31" s="23">
        <v>10.75</v>
      </c>
      <c r="X31" s="23">
        <v>10.5</v>
      </c>
      <c r="Y31" s="23">
        <v>10.125999999999999</v>
      </c>
      <c r="Z31" s="12"/>
      <c r="AA31" s="23">
        <v>11.75</v>
      </c>
      <c r="AB31" s="12" t="s">
        <v>15</v>
      </c>
    </row>
    <row r="32" spans="1:28" ht="13" x14ac:dyDescent="0.3">
      <c r="A32" s="2"/>
      <c r="B32" s="2" t="s">
        <v>225</v>
      </c>
      <c r="E32" s="11"/>
      <c r="N32" s="33">
        <v>14</v>
      </c>
      <c r="O32" s="12" t="s">
        <v>15</v>
      </c>
      <c r="P32" s="23">
        <v>13.5</v>
      </c>
      <c r="Q32" s="23">
        <v>13.375999999999999</v>
      </c>
      <c r="R32" s="23">
        <v>13.25</v>
      </c>
      <c r="S32" s="23">
        <v>13.124000000000001</v>
      </c>
      <c r="T32" s="23">
        <v>12.811999999999999</v>
      </c>
      <c r="U32" s="23">
        <v>12.5</v>
      </c>
      <c r="V32" s="23">
        <v>12.124000000000001</v>
      </c>
      <c r="W32" s="23">
        <v>11.811999999999999</v>
      </c>
      <c r="X32" s="23">
        <v>11.5</v>
      </c>
      <c r="Y32" s="23">
        <v>11.188000000000001</v>
      </c>
      <c r="Z32" s="12"/>
      <c r="AA32" s="23">
        <v>13</v>
      </c>
      <c r="AB32" s="12"/>
    </row>
    <row r="33" spans="2:28" x14ac:dyDescent="0.25">
      <c r="C33" s="3" t="s">
        <v>120</v>
      </c>
      <c r="D33" s="4" t="s">
        <v>0</v>
      </c>
      <c r="E33" s="11">
        <f>E23</f>
        <v>36.450000000000003</v>
      </c>
      <c r="F33" s="1" t="s">
        <v>1</v>
      </c>
      <c r="N33" s="33">
        <v>16</v>
      </c>
      <c r="O33" s="12" t="s">
        <v>15</v>
      </c>
      <c r="P33" s="23">
        <v>15.5</v>
      </c>
      <c r="Q33" s="23">
        <v>15.375999999999999</v>
      </c>
      <c r="R33" s="23">
        <v>15.25</v>
      </c>
      <c r="S33" s="23">
        <v>15</v>
      </c>
      <c r="T33" s="23">
        <v>14.688000000000001</v>
      </c>
      <c r="U33" s="23">
        <v>14.311999999999999</v>
      </c>
      <c r="V33" s="23">
        <v>13.938000000000001</v>
      </c>
      <c r="W33" s="23">
        <v>13.561999999999999</v>
      </c>
      <c r="X33" s="23">
        <v>13.124000000000001</v>
      </c>
      <c r="Y33" s="23">
        <v>12.811999999999999</v>
      </c>
      <c r="Z33" s="12"/>
      <c r="AA33" s="23"/>
      <c r="AB33" s="12" t="s">
        <v>15</v>
      </c>
    </row>
    <row r="34" spans="2:28" x14ac:dyDescent="0.25">
      <c r="C34" s="3" t="s">
        <v>138</v>
      </c>
      <c r="D34" s="4" t="s">
        <v>0</v>
      </c>
      <c r="E34" s="29">
        <v>261.65199999999999</v>
      </c>
      <c r="F34" s="1" t="s">
        <v>2</v>
      </c>
      <c r="N34" s="33">
        <v>18</v>
      </c>
      <c r="O34" s="12" t="s">
        <v>15</v>
      </c>
      <c r="P34" s="23">
        <v>17.5</v>
      </c>
      <c r="Q34" s="23">
        <v>17.376000000000001</v>
      </c>
      <c r="R34" s="23">
        <v>17.123999999999999</v>
      </c>
      <c r="S34" s="23">
        <v>16.876000000000001</v>
      </c>
      <c r="T34" s="23">
        <v>16.5</v>
      </c>
      <c r="U34" s="23">
        <v>16.123999999999999</v>
      </c>
      <c r="V34" s="23">
        <v>15.688000000000001</v>
      </c>
      <c r="W34" s="23">
        <v>15.25</v>
      </c>
      <c r="X34" s="23">
        <v>14.875999999999999</v>
      </c>
      <c r="Y34" s="23">
        <v>14.438000000000001</v>
      </c>
      <c r="Z34" s="12">
        <v>17.25</v>
      </c>
      <c r="AA34" s="23">
        <v>17</v>
      </c>
      <c r="AB34" s="12"/>
    </row>
    <row r="35" spans="2:28" x14ac:dyDescent="0.25">
      <c r="C35" s="3" t="s">
        <v>213</v>
      </c>
      <c r="D35" s="4" t="s">
        <v>0</v>
      </c>
      <c r="E35" s="29">
        <v>248</v>
      </c>
      <c r="N35" s="33">
        <v>20</v>
      </c>
      <c r="O35" s="12" t="s">
        <v>15</v>
      </c>
      <c r="P35" s="23">
        <v>19.5</v>
      </c>
      <c r="Q35" s="23">
        <v>19.25</v>
      </c>
      <c r="R35" s="23">
        <v>19</v>
      </c>
      <c r="S35" s="23">
        <v>18.812000000000001</v>
      </c>
      <c r="T35" s="23">
        <v>18.376000000000001</v>
      </c>
      <c r="U35" s="23">
        <v>17.937999999999999</v>
      </c>
      <c r="V35" s="23">
        <v>17.437999999999999</v>
      </c>
      <c r="W35" s="23">
        <v>17</v>
      </c>
      <c r="X35" s="23">
        <v>16.5</v>
      </c>
      <c r="Y35" s="23">
        <v>16.062000000000001</v>
      </c>
      <c r="Z35" s="12">
        <v>19.25</v>
      </c>
      <c r="AA35" s="23">
        <v>19</v>
      </c>
      <c r="AB35" s="12" t="s">
        <v>15</v>
      </c>
    </row>
    <row r="36" spans="2:28" x14ac:dyDescent="0.25">
      <c r="C36" s="3" t="s">
        <v>93</v>
      </c>
      <c r="D36" s="4" t="s">
        <v>0</v>
      </c>
      <c r="E36" s="11" t="s">
        <v>81</v>
      </c>
      <c r="N36" s="33">
        <v>22</v>
      </c>
      <c r="O36" s="12" t="s">
        <v>15</v>
      </c>
      <c r="P36" s="23">
        <v>21.5</v>
      </c>
      <c r="Q36" s="23">
        <v>21.25</v>
      </c>
      <c r="R36" s="23">
        <v>21</v>
      </c>
      <c r="S36" s="23" t="s">
        <v>15</v>
      </c>
      <c r="T36" s="23">
        <v>20.25</v>
      </c>
      <c r="U36" s="23">
        <v>19.75</v>
      </c>
      <c r="V36" s="23">
        <v>19.25</v>
      </c>
      <c r="W36" s="23">
        <v>18.75</v>
      </c>
      <c r="X36" s="23">
        <v>18.25</v>
      </c>
      <c r="Y36" s="23">
        <v>17.75</v>
      </c>
      <c r="Z36" s="12">
        <v>21.25</v>
      </c>
      <c r="AA36" s="23">
        <v>21</v>
      </c>
      <c r="AB36" s="12" t="s">
        <v>15</v>
      </c>
    </row>
    <row r="37" spans="2:28" x14ac:dyDescent="0.25">
      <c r="C37" s="1" t="s">
        <v>99</v>
      </c>
      <c r="D37" s="4" t="s">
        <v>0</v>
      </c>
      <c r="E37" s="11">
        <v>0</v>
      </c>
      <c r="N37" s="33">
        <v>24</v>
      </c>
      <c r="O37" s="12" t="s">
        <v>15</v>
      </c>
      <c r="P37" s="23">
        <v>23.5</v>
      </c>
      <c r="Q37" s="23">
        <v>23.25</v>
      </c>
      <c r="R37" s="23">
        <v>22.876000000000001</v>
      </c>
      <c r="S37" s="23">
        <v>22.623999999999999</v>
      </c>
      <c r="T37" s="23">
        <v>22.062000000000001</v>
      </c>
      <c r="U37" s="23">
        <v>21.562000000000001</v>
      </c>
      <c r="V37" s="23">
        <v>20.937999999999999</v>
      </c>
      <c r="W37" s="23">
        <v>20.376000000000001</v>
      </c>
      <c r="X37" s="23">
        <v>19.876000000000001</v>
      </c>
      <c r="Y37" s="23">
        <v>19.312000000000001</v>
      </c>
      <c r="Z37" s="12">
        <v>23.25</v>
      </c>
      <c r="AA37" s="23">
        <v>23</v>
      </c>
      <c r="AB37" s="12"/>
    </row>
    <row r="38" spans="2:28" x14ac:dyDescent="0.25">
      <c r="B38" s="3" t="s">
        <v>139</v>
      </c>
      <c r="C38" s="1"/>
      <c r="D38" s="4" t="s">
        <v>0</v>
      </c>
      <c r="E38" s="86">
        <v>216.39599999999999</v>
      </c>
      <c r="F38" s="7" t="s">
        <v>75</v>
      </c>
      <c r="N38" s="33">
        <v>26</v>
      </c>
      <c r="O38" s="12" t="s">
        <v>15</v>
      </c>
      <c r="P38" s="23">
        <v>25.376000000000001</v>
      </c>
      <c r="Q38" s="12" t="s">
        <v>15</v>
      </c>
      <c r="R38" s="12" t="s">
        <v>15</v>
      </c>
      <c r="S38" s="12" t="s">
        <v>15</v>
      </c>
      <c r="T38" s="12" t="s">
        <v>15</v>
      </c>
      <c r="U38" s="12" t="s">
        <v>15</v>
      </c>
      <c r="V38" s="12" t="s">
        <v>15</v>
      </c>
      <c r="W38" s="12" t="s">
        <v>15</v>
      </c>
      <c r="X38" s="12" t="s">
        <v>15</v>
      </c>
      <c r="Y38" s="12" t="s">
        <v>15</v>
      </c>
      <c r="Z38" s="12">
        <v>25.25</v>
      </c>
      <c r="AA38" s="23">
        <v>25</v>
      </c>
      <c r="AB38" s="12" t="s">
        <v>15</v>
      </c>
    </row>
    <row r="39" spans="2:28" x14ac:dyDescent="0.25">
      <c r="B39" s="3" t="s">
        <v>140</v>
      </c>
      <c r="C39" s="1"/>
      <c r="D39" s="4" t="s">
        <v>0</v>
      </c>
      <c r="E39" s="63">
        <v>0</v>
      </c>
      <c r="F39" s="7" t="s">
        <v>75</v>
      </c>
      <c r="N39" s="33">
        <v>28</v>
      </c>
      <c r="O39" s="12" t="s">
        <v>15</v>
      </c>
      <c r="P39" s="23">
        <v>27.376000000000001</v>
      </c>
      <c r="Q39" s="12">
        <v>27</v>
      </c>
      <c r="R39" s="12">
        <v>26.75</v>
      </c>
      <c r="S39" s="12" t="s">
        <v>15</v>
      </c>
      <c r="T39" s="12" t="s">
        <v>15</v>
      </c>
      <c r="U39" s="12" t="s">
        <v>15</v>
      </c>
      <c r="V39" s="12" t="s">
        <v>15</v>
      </c>
      <c r="W39" s="12" t="s">
        <v>15</v>
      </c>
      <c r="X39" s="12" t="s">
        <v>15</v>
      </c>
      <c r="Y39" s="12" t="s">
        <v>15</v>
      </c>
      <c r="Z39" s="12">
        <v>27.25</v>
      </c>
      <c r="AA39" s="23">
        <v>27</v>
      </c>
      <c r="AB39" s="12" t="s">
        <v>15</v>
      </c>
    </row>
    <row r="40" spans="2:28" x14ac:dyDescent="0.25">
      <c r="B40" s="3" t="s">
        <v>141</v>
      </c>
      <c r="C40" s="1"/>
      <c r="D40" s="4" t="s">
        <v>0</v>
      </c>
      <c r="E40" s="63">
        <f>E37*E39+(1-E37)*E38</f>
        <v>216.39599999999999</v>
      </c>
      <c r="F40" s="7" t="s">
        <v>75</v>
      </c>
      <c r="N40" s="33">
        <v>30</v>
      </c>
      <c r="O40" s="12" t="s">
        <v>15</v>
      </c>
      <c r="P40" s="23">
        <v>29.376000000000001</v>
      </c>
      <c r="Q40" s="12">
        <v>29</v>
      </c>
      <c r="R40" s="12">
        <v>28.75</v>
      </c>
      <c r="S40" s="12" t="s">
        <v>15</v>
      </c>
      <c r="T40" s="12" t="s">
        <v>15</v>
      </c>
      <c r="U40" s="12" t="s">
        <v>15</v>
      </c>
      <c r="V40" s="12" t="s">
        <v>15</v>
      </c>
      <c r="W40" s="12" t="s">
        <v>15</v>
      </c>
      <c r="X40" s="12" t="s">
        <v>15</v>
      </c>
      <c r="Y40" s="12" t="s">
        <v>15</v>
      </c>
      <c r="Z40" s="12">
        <v>29.25</v>
      </c>
      <c r="AA40" s="23">
        <v>29</v>
      </c>
      <c r="AB40" s="12" t="s">
        <v>15</v>
      </c>
    </row>
    <row r="41" spans="2:28" x14ac:dyDescent="0.25">
      <c r="B41" s="3"/>
      <c r="C41" s="3" t="s">
        <v>29</v>
      </c>
      <c r="D41" s="4" t="s">
        <v>0</v>
      </c>
      <c r="E41" s="11">
        <f>E29-E40</f>
        <v>0.12100000000000932</v>
      </c>
      <c r="F41" s="7" t="s">
        <v>75</v>
      </c>
      <c r="G41" s="108" t="s">
        <v>229</v>
      </c>
      <c r="N41" s="33">
        <v>32</v>
      </c>
      <c r="O41" s="12" t="s">
        <v>15</v>
      </c>
      <c r="P41" s="23">
        <v>31.376000000000001</v>
      </c>
      <c r="Q41" s="12">
        <v>31</v>
      </c>
      <c r="R41" s="12">
        <v>30.75</v>
      </c>
      <c r="S41" s="12">
        <v>30.623999999999999</v>
      </c>
      <c r="T41" s="12" t="s">
        <v>15</v>
      </c>
      <c r="U41" s="12" t="s">
        <v>15</v>
      </c>
      <c r="V41" s="12" t="s">
        <v>15</v>
      </c>
      <c r="W41" s="12" t="s">
        <v>15</v>
      </c>
      <c r="X41" s="12" t="s">
        <v>15</v>
      </c>
      <c r="Y41" s="12" t="s">
        <v>15</v>
      </c>
      <c r="Z41" s="12">
        <v>31.25</v>
      </c>
      <c r="AA41" s="23">
        <v>31</v>
      </c>
      <c r="AB41" s="12" t="s">
        <v>15</v>
      </c>
    </row>
    <row r="42" spans="2:28" x14ac:dyDescent="0.25">
      <c r="B42" s="3"/>
      <c r="C42" s="3" t="s">
        <v>142</v>
      </c>
      <c r="D42" s="4" t="s">
        <v>0</v>
      </c>
      <c r="E42" s="30">
        <v>58.877899999999997</v>
      </c>
      <c r="F42" s="1" t="s">
        <v>8</v>
      </c>
      <c r="N42" s="33">
        <v>34</v>
      </c>
      <c r="O42" s="12" t="s">
        <v>15</v>
      </c>
      <c r="P42" s="23">
        <v>33.375999999999998</v>
      </c>
      <c r="Q42" s="12">
        <v>33</v>
      </c>
      <c r="R42" s="12">
        <v>32.75</v>
      </c>
      <c r="S42" s="12">
        <v>32.624000000000002</v>
      </c>
      <c r="T42" s="12" t="s">
        <v>15</v>
      </c>
      <c r="U42" s="12" t="s">
        <v>15</v>
      </c>
      <c r="V42" s="12" t="s">
        <v>15</v>
      </c>
      <c r="W42" s="12" t="s">
        <v>15</v>
      </c>
      <c r="X42" s="12" t="s">
        <v>15</v>
      </c>
      <c r="Y42" s="12" t="s">
        <v>15</v>
      </c>
      <c r="Z42" s="12">
        <v>33.25</v>
      </c>
      <c r="AA42" s="23">
        <v>33</v>
      </c>
      <c r="AB42" s="12" t="s">
        <v>15</v>
      </c>
    </row>
    <row r="43" spans="2:28" x14ac:dyDescent="0.25">
      <c r="C43" s="3" t="s">
        <v>143</v>
      </c>
      <c r="D43" s="4" t="s">
        <v>0</v>
      </c>
      <c r="E43" s="30">
        <v>0</v>
      </c>
      <c r="F43" s="1" t="s">
        <v>8</v>
      </c>
      <c r="N43" s="33">
        <v>36</v>
      </c>
      <c r="O43" s="12" t="s">
        <v>15</v>
      </c>
      <c r="P43" s="23">
        <v>35.375999999999998</v>
      </c>
      <c r="Q43" s="12" t="s">
        <v>15</v>
      </c>
      <c r="R43" s="12" t="s">
        <v>15</v>
      </c>
      <c r="S43" s="12" t="s">
        <v>15</v>
      </c>
      <c r="T43" s="12" t="s">
        <v>15</v>
      </c>
      <c r="U43" s="12" t="s">
        <v>15</v>
      </c>
      <c r="V43" s="12" t="s">
        <v>15</v>
      </c>
      <c r="W43" s="12" t="s">
        <v>15</v>
      </c>
      <c r="X43" s="12" t="s">
        <v>15</v>
      </c>
      <c r="Y43" s="12" t="s">
        <v>15</v>
      </c>
      <c r="Z43" s="12">
        <v>35.25</v>
      </c>
      <c r="AA43" s="23">
        <v>35</v>
      </c>
      <c r="AB43" s="12" t="s">
        <v>15</v>
      </c>
    </row>
    <row r="44" spans="2:28" ht="13" x14ac:dyDescent="0.3">
      <c r="C44" s="3" t="s">
        <v>144</v>
      </c>
      <c r="D44" s="4" t="s">
        <v>0</v>
      </c>
      <c r="E44" s="30">
        <v>0</v>
      </c>
      <c r="N44" s="33">
        <v>42</v>
      </c>
      <c r="O44" s="12" t="s">
        <v>15</v>
      </c>
      <c r="P44" s="23" t="s">
        <v>15</v>
      </c>
      <c r="Q44" s="12" t="s">
        <v>15</v>
      </c>
      <c r="R44" s="12" t="s">
        <v>15</v>
      </c>
      <c r="S44" s="12" t="s">
        <v>15</v>
      </c>
      <c r="T44" s="12" t="s">
        <v>15</v>
      </c>
      <c r="U44" s="12" t="s">
        <v>15</v>
      </c>
      <c r="V44" s="12" t="s">
        <v>15</v>
      </c>
      <c r="W44" s="12" t="s">
        <v>15</v>
      </c>
      <c r="X44" s="12" t="s">
        <v>15</v>
      </c>
      <c r="Y44" s="12" t="s">
        <v>15</v>
      </c>
      <c r="Z44" s="12">
        <v>41.25</v>
      </c>
      <c r="AA44" s="23">
        <v>41</v>
      </c>
      <c r="AB44" s="12" t="s">
        <v>15</v>
      </c>
    </row>
    <row r="45" spans="2:28" x14ac:dyDescent="0.25">
      <c r="E45" s="30"/>
      <c r="N45" s="33">
        <v>48</v>
      </c>
      <c r="O45" s="12" t="s">
        <v>15</v>
      </c>
      <c r="P45" s="23" t="s">
        <v>15</v>
      </c>
      <c r="Q45" s="12" t="s">
        <v>15</v>
      </c>
      <c r="R45" s="12" t="s">
        <v>15</v>
      </c>
      <c r="S45" s="12" t="s">
        <v>15</v>
      </c>
      <c r="T45" s="12" t="s">
        <v>15</v>
      </c>
      <c r="U45" s="12" t="s">
        <v>15</v>
      </c>
      <c r="V45" s="12" t="s">
        <v>15</v>
      </c>
      <c r="W45" s="12" t="s">
        <v>15</v>
      </c>
      <c r="X45" s="12" t="s">
        <v>15</v>
      </c>
      <c r="Y45" s="12" t="s">
        <v>15</v>
      </c>
      <c r="Z45" s="12">
        <v>47.25</v>
      </c>
      <c r="AA45" s="23">
        <v>47</v>
      </c>
      <c r="AB45" s="12" t="s">
        <v>15</v>
      </c>
    </row>
    <row r="46" spans="2:28" x14ac:dyDescent="0.25">
      <c r="B46" s="3" t="s">
        <v>145</v>
      </c>
      <c r="C46" s="39"/>
      <c r="D46" s="64" t="s">
        <v>0</v>
      </c>
      <c r="E46" s="105">
        <f>E44*E43+(1-E44)*E42</f>
        <v>58.877899999999997</v>
      </c>
      <c r="F46" s="16" t="s">
        <v>8</v>
      </c>
    </row>
    <row r="47" spans="2:28" x14ac:dyDescent="0.25">
      <c r="E47" s="30"/>
      <c r="O47" s="22" t="s">
        <v>20</v>
      </c>
      <c r="P47" s="22" t="s">
        <v>122</v>
      </c>
      <c r="Q47" s="22" t="s">
        <v>123</v>
      </c>
    </row>
    <row r="48" spans="2:28" x14ac:dyDescent="0.25">
      <c r="E48" s="30"/>
      <c r="O48" s="32">
        <v>0.5</v>
      </c>
      <c r="P48" s="22">
        <v>2.7E-2</v>
      </c>
      <c r="Q48" s="90">
        <f>P48/4</f>
        <v>6.7499999999999999E-3</v>
      </c>
    </row>
    <row r="49" spans="1:17" x14ac:dyDescent="0.25">
      <c r="E49" s="11"/>
      <c r="O49" s="32">
        <v>0.75</v>
      </c>
      <c r="P49" s="22">
        <v>2.5000000000000001E-2</v>
      </c>
      <c r="Q49" s="90">
        <f t="shared" ref="Q49:Q70" si="1">P49/4</f>
        <v>6.2500000000000003E-3</v>
      </c>
    </row>
    <row r="50" spans="1:17" ht="13" x14ac:dyDescent="0.3">
      <c r="A50" s="2">
        <v>2</v>
      </c>
      <c r="B50" s="2" t="s">
        <v>94</v>
      </c>
      <c r="C50" s="13" t="s">
        <v>95</v>
      </c>
      <c r="E50" s="11"/>
      <c r="O50" s="32">
        <v>1</v>
      </c>
      <c r="P50" s="22">
        <v>2.3E-2</v>
      </c>
      <c r="Q50" s="90">
        <f t="shared" si="1"/>
        <v>5.7499999999999999E-3</v>
      </c>
    </row>
    <row r="51" spans="1:17" ht="13" x14ac:dyDescent="0.3">
      <c r="A51" s="2"/>
      <c r="C51" s="2"/>
      <c r="E51" s="11"/>
      <c r="O51" s="32">
        <v>1.25</v>
      </c>
      <c r="P51" s="22">
        <v>2.1999999999999999E-2</v>
      </c>
      <c r="Q51" s="90">
        <f t="shared" si="1"/>
        <v>5.4999999999999997E-3</v>
      </c>
    </row>
    <row r="52" spans="1:17" ht="13" x14ac:dyDescent="0.3">
      <c r="A52" s="2"/>
      <c r="B52" s="2"/>
      <c r="C52" s="3" t="s">
        <v>120</v>
      </c>
      <c r="D52" s="4" t="s">
        <v>0</v>
      </c>
      <c r="E52" s="11">
        <f>E33</f>
        <v>36.450000000000003</v>
      </c>
      <c r="F52" s="1" t="s">
        <v>1</v>
      </c>
      <c r="O52" s="32">
        <v>1.5</v>
      </c>
      <c r="P52" s="22">
        <v>2.1000000000000001E-2</v>
      </c>
      <c r="Q52" s="90">
        <f t="shared" si="1"/>
        <v>5.2500000000000003E-3</v>
      </c>
    </row>
    <row r="53" spans="1:17" ht="13" x14ac:dyDescent="0.3">
      <c r="A53" s="2"/>
      <c r="B53" s="2"/>
      <c r="C53" s="3" t="s">
        <v>166</v>
      </c>
      <c r="D53" s="4" t="s">
        <v>0</v>
      </c>
      <c r="E53" s="7">
        <f>0.5*E52</f>
        <v>18.225000000000001</v>
      </c>
      <c r="F53" s="1" t="s">
        <v>1</v>
      </c>
      <c r="G53" s="1" t="s">
        <v>230</v>
      </c>
      <c r="O53" s="32">
        <v>2</v>
      </c>
      <c r="P53" s="22">
        <v>1.9E-2</v>
      </c>
      <c r="Q53" s="90">
        <f t="shared" si="1"/>
        <v>4.7499999999999999E-3</v>
      </c>
    </row>
    <row r="54" spans="1:17" ht="13" x14ac:dyDescent="0.3">
      <c r="A54" s="2"/>
      <c r="B54" s="2"/>
      <c r="C54" s="3" t="s">
        <v>138</v>
      </c>
      <c r="D54" s="4" t="s">
        <v>0</v>
      </c>
      <c r="E54" s="11">
        <v>223.012</v>
      </c>
      <c r="F54" s="1" t="s">
        <v>214</v>
      </c>
      <c r="O54" s="32">
        <v>2.5</v>
      </c>
      <c r="P54" s="22">
        <v>1.7999999999999999E-2</v>
      </c>
      <c r="Q54" s="90">
        <f t="shared" si="1"/>
        <v>4.4999999999999997E-3</v>
      </c>
    </row>
    <row r="55" spans="1:17" ht="13" x14ac:dyDescent="0.3">
      <c r="A55" s="2"/>
      <c r="B55" s="3" t="s">
        <v>215</v>
      </c>
      <c r="C55" s="3" t="s">
        <v>78</v>
      </c>
      <c r="D55" s="4" t="s">
        <v>0</v>
      </c>
      <c r="E55" s="11">
        <v>2.6397709007388834E-2</v>
      </c>
      <c r="O55" s="32">
        <v>3</v>
      </c>
      <c r="P55" s="22">
        <v>1.7999999999999999E-2</v>
      </c>
      <c r="Q55" s="90">
        <f t="shared" si="1"/>
        <v>4.4999999999999997E-3</v>
      </c>
    </row>
    <row r="56" spans="1:17" ht="13" x14ac:dyDescent="0.3">
      <c r="A56" s="2"/>
      <c r="B56" s="3" t="s">
        <v>100</v>
      </c>
      <c r="C56" s="1"/>
      <c r="D56" s="4" t="s">
        <v>0</v>
      </c>
      <c r="E56" s="30">
        <v>59.548400000000001</v>
      </c>
      <c r="F56" s="1" t="s">
        <v>8</v>
      </c>
      <c r="O56" s="32">
        <v>4</v>
      </c>
      <c r="P56" s="22">
        <v>1.7000000000000001E-2</v>
      </c>
      <c r="Q56" s="90">
        <f t="shared" si="1"/>
        <v>4.2500000000000003E-3</v>
      </c>
    </row>
    <row r="57" spans="1:17" ht="13" x14ac:dyDescent="0.3">
      <c r="A57" s="2"/>
      <c r="B57" s="3" t="s">
        <v>100</v>
      </c>
      <c r="D57" s="4" t="s">
        <v>0</v>
      </c>
      <c r="E57" s="35">
        <v>4.5630200000000003E-2</v>
      </c>
      <c r="F57" s="1" t="s">
        <v>8</v>
      </c>
      <c r="O57" s="32">
        <v>5</v>
      </c>
      <c r="P57" s="22">
        <v>1.6E-2</v>
      </c>
      <c r="Q57" s="90">
        <f t="shared" si="1"/>
        <v>4.0000000000000001E-3</v>
      </c>
    </row>
    <row r="58" spans="1:17" x14ac:dyDescent="0.25">
      <c r="B58" s="3" t="s">
        <v>96</v>
      </c>
      <c r="C58" s="1"/>
      <c r="D58" s="4" t="s">
        <v>0</v>
      </c>
      <c r="E58" s="86">
        <v>191.09399999999999</v>
      </c>
      <c r="F58" s="7" t="s">
        <v>75</v>
      </c>
      <c r="O58" s="32">
        <v>6</v>
      </c>
      <c r="P58" s="22">
        <v>1.4999999999999999E-2</v>
      </c>
      <c r="Q58" s="90">
        <f t="shared" si="1"/>
        <v>3.7499999999999999E-3</v>
      </c>
    </row>
    <row r="59" spans="1:17" x14ac:dyDescent="0.25">
      <c r="B59" s="3" t="s">
        <v>97</v>
      </c>
      <c r="C59" s="1"/>
      <c r="D59" s="4" t="s">
        <v>0</v>
      </c>
      <c r="E59" s="86">
        <v>1154.17</v>
      </c>
      <c r="F59" s="7" t="s">
        <v>75</v>
      </c>
      <c r="H59" s="87"/>
      <c r="O59" s="12">
        <v>7</v>
      </c>
      <c r="P59" s="22">
        <v>1.4999999999999999E-2</v>
      </c>
      <c r="Q59" s="90">
        <f t="shared" si="1"/>
        <v>3.7499999999999999E-3</v>
      </c>
    </row>
    <row r="60" spans="1:17" x14ac:dyDescent="0.25">
      <c r="B60" s="3" t="s">
        <v>98</v>
      </c>
      <c r="C60" s="1"/>
      <c r="D60" s="4" t="s">
        <v>0</v>
      </c>
      <c r="E60" s="52">
        <f>E55*E59+(1-E55)*E58</f>
        <v>216.517</v>
      </c>
      <c r="F60" s="7" t="s">
        <v>75</v>
      </c>
      <c r="O60" s="32">
        <v>8</v>
      </c>
      <c r="P60" s="22">
        <v>1.4E-2</v>
      </c>
      <c r="Q60" s="90">
        <f t="shared" si="1"/>
        <v>3.5000000000000001E-3</v>
      </c>
    </row>
    <row r="61" spans="1:17" x14ac:dyDescent="0.25">
      <c r="B61" s="3"/>
      <c r="C61" s="1" t="s">
        <v>29</v>
      </c>
      <c r="D61" s="4" t="s">
        <v>0</v>
      </c>
      <c r="E61" s="7">
        <f>E29-E60</f>
        <v>0</v>
      </c>
      <c r="F61" s="7" t="s">
        <v>75</v>
      </c>
      <c r="O61" s="12">
        <v>9</v>
      </c>
      <c r="P61" s="22">
        <v>1.4E-2</v>
      </c>
      <c r="Q61" s="90">
        <f t="shared" si="1"/>
        <v>3.5000000000000001E-3</v>
      </c>
    </row>
    <row r="62" spans="1:17" x14ac:dyDescent="0.25">
      <c r="B62" s="3"/>
      <c r="C62" s="1"/>
      <c r="E62" s="52"/>
      <c r="F62" s="7"/>
      <c r="O62" s="32">
        <v>10</v>
      </c>
      <c r="P62" s="22">
        <v>1.4E-2</v>
      </c>
      <c r="Q62" s="90">
        <f t="shared" si="1"/>
        <v>3.5000000000000001E-3</v>
      </c>
    </row>
    <row r="63" spans="1:17" ht="13" x14ac:dyDescent="0.3">
      <c r="C63" s="3" t="s">
        <v>144</v>
      </c>
      <c r="D63" s="4" t="s">
        <v>0</v>
      </c>
      <c r="E63" s="30">
        <f>E55/(E55+(1-E55)*(E57/E56))</f>
        <v>0.97251511123720669</v>
      </c>
      <c r="O63" s="12">
        <v>11</v>
      </c>
      <c r="P63" s="22">
        <v>1.4E-2</v>
      </c>
      <c r="Q63" s="90">
        <f t="shared" si="1"/>
        <v>3.5000000000000001E-3</v>
      </c>
    </row>
    <row r="64" spans="1:17" x14ac:dyDescent="0.25">
      <c r="O64" s="32">
        <v>12</v>
      </c>
      <c r="P64" s="22">
        <v>1.2999999999999999E-2</v>
      </c>
      <c r="Q64" s="90">
        <f t="shared" si="1"/>
        <v>3.2499999999999999E-3</v>
      </c>
    </row>
    <row r="65" spans="1:17" x14ac:dyDescent="0.25">
      <c r="E65" s="11"/>
      <c r="O65" s="32">
        <v>14</v>
      </c>
      <c r="P65" s="22">
        <v>1.2999999999999999E-2</v>
      </c>
      <c r="Q65" s="90">
        <f t="shared" si="1"/>
        <v>3.2499999999999999E-3</v>
      </c>
    </row>
    <row r="66" spans="1:17" ht="15.5" x14ac:dyDescent="0.35">
      <c r="A66" s="2"/>
      <c r="B66" s="2"/>
      <c r="C66" s="39"/>
      <c r="D66" s="106" t="s">
        <v>0</v>
      </c>
      <c r="E66" s="65">
        <f>E63*E57+(1-E63)*E56</f>
        <v>1.6810572090310973</v>
      </c>
      <c r="F66" s="16" t="s">
        <v>8</v>
      </c>
      <c r="O66" s="12">
        <v>16</v>
      </c>
      <c r="P66" s="22">
        <v>1.2999999999999999E-2</v>
      </c>
      <c r="Q66" s="90">
        <f t="shared" si="1"/>
        <v>3.2499999999999999E-3</v>
      </c>
    </row>
    <row r="67" spans="1:17" x14ac:dyDescent="0.25">
      <c r="E67" s="11"/>
      <c r="O67" s="12">
        <v>18</v>
      </c>
      <c r="P67" s="22">
        <v>1.2E-2</v>
      </c>
      <c r="Q67" s="90">
        <f t="shared" si="1"/>
        <v>3.0000000000000001E-3</v>
      </c>
    </row>
    <row r="68" spans="1:17" ht="15.5" x14ac:dyDescent="0.35">
      <c r="A68" s="2">
        <v>3</v>
      </c>
      <c r="B68" s="2" t="s">
        <v>101</v>
      </c>
      <c r="C68" s="13" t="s">
        <v>103</v>
      </c>
      <c r="D68" s="59"/>
      <c r="E68" s="30"/>
      <c r="O68" s="12">
        <v>20</v>
      </c>
      <c r="P68" s="22">
        <v>1.2E-2</v>
      </c>
      <c r="Q68" s="90">
        <f t="shared" si="1"/>
        <v>3.0000000000000001E-3</v>
      </c>
    </row>
    <row r="69" spans="1:17" x14ac:dyDescent="0.25">
      <c r="E69" s="30"/>
      <c r="O69" s="12">
        <v>22</v>
      </c>
      <c r="P69" s="22">
        <v>1.2E-2</v>
      </c>
      <c r="Q69" s="90">
        <f t="shared" si="1"/>
        <v>3.0000000000000001E-3</v>
      </c>
    </row>
    <row r="70" spans="1:17" ht="13" x14ac:dyDescent="0.3">
      <c r="A70" s="2"/>
      <c r="B70" s="2"/>
      <c r="E70" s="30"/>
      <c r="O70" s="12">
        <v>24</v>
      </c>
      <c r="P70" s="22">
        <v>1.2E-2</v>
      </c>
      <c r="Q70" s="90">
        <f t="shared" si="1"/>
        <v>3.0000000000000001E-3</v>
      </c>
    </row>
    <row r="71" spans="1:17" x14ac:dyDescent="0.25">
      <c r="E71" s="30"/>
    </row>
    <row r="72" spans="1:17" x14ac:dyDescent="0.25">
      <c r="E72" s="30"/>
    </row>
    <row r="73" spans="1:17" x14ac:dyDescent="0.25">
      <c r="E73" s="30"/>
    </row>
    <row r="74" spans="1:17" x14ac:dyDescent="0.25">
      <c r="E74" s="30"/>
    </row>
    <row r="75" spans="1:17" x14ac:dyDescent="0.25">
      <c r="A75" s="25"/>
      <c r="B75" s="24"/>
      <c r="C75" s="56"/>
      <c r="D75" s="42" t="s">
        <v>0</v>
      </c>
      <c r="E75" s="57">
        <f>E46</f>
        <v>58.877899999999997</v>
      </c>
      <c r="F75" s="44" t="s">
        <v>8</v>
      </c>
      <c r="H75" s="25"/>
      <c r="I75" s="26"/>
    </row>
    <row r="76" spans="1:17" x14ac:dyDescent="0.25">
      <c r="A76" s="25"/>
      <c r="B76" s="24"/>
      <c r="C76" s="24"/>
      <c r="D76" s="24" t="s">
        <v>0</v>
      </c>
      <c r="E76" s="58">
        <f>E66</f>
        <v>1.6810572090310973</v>
      </c>
      <c r="F76" s="44" t="s">
        <v>8</v>
      </c>
      <c r="H76" s="25"/>
      <c r="I76" s="26"/>
    </row>
    <row r="77" spans="1:17" ht="13" x14ac:dyDescent="0.3">
      <c r="A77" s="25"/>
      <c r="B77" s="40"/>
      <c r="C77" s="26" t="s">
        <v>120</v>
      </c>
      <c r="D77" s="24" t="s">
        <v>0</v>
      </c>
      <c r="E77" s="46">
        <f>E33</f>
        <v>36.450000000000003</v>
      </c>
      <c r="F77" s="18" t="s">
        <v>1</v>
      </c>
      <c r="H77" s="25"/>
      <c r="I77" s="25"/>
    </row>
    <row r="78" spans="1:17" ht="13" x14ac:dyDescent="0.25">
      <c r="A78" s="25"/>
      <c r="B78" s="41"/>
      <c r="C78" s="56" t="s">
        <v>166</v>
      </c>
      <c r="D78" s="41" t="s">
        <v>0</v>
      </c>
      <c r="E78" s="74">
        <f>E53</f>
        <v>18.225000000000001</v>
      </c>
      <c r="F78" s="44" t="s">
        <v>1</v>
      </c>
      <c r="H78" s="25"/>
      <c r="I78" s="26"/>
    </row>
    <row r="79" spans="1:17" x14ac:dyDescent="0.25">
      <c r="A79" s="25"/>
      <c r="B79" s="24"/>
      <c r="C79" s="24"/>
      <c r="D79" s="42"/>
      <c r="E79" s="42"/>
      <c r="F79" s="44"/>
      <c r="H79" s="25"/>
      <c r="I79" s="26"/>
    </row>
    <row r="80" spans="1:17" ht="15.5" x14ac:dyDescent="0.25">
      <c r="A80" s="25"/>
      <c r="B80" s="24"/>
      <c r="C80" s="60" t="s">
        <v>102</v>
      </c>
      <c r="D80" s="61" t="s">
        <v>0</v>
      </c>
      <c r="E80" s="62">
        <f>((E75/E76)-1)/((E77/E78)-1)</f>
        <v>34.024328549731607</v>
      </c>
      <c r="F80" s="44"/>
      <c r="H80" s="25"/>
      <c r="I80" s="26"/>
    </row>
    <row r="81" spans="1:13" x14ac:dyDescent="0.25">
      <c r="A81" s="25"/>
      <c r="B81" s="24"/>
      <c r="C81" s="24"/>
      <c r="D81" s="43"/>
      <c r="E81" s="43"/>
      <c r="F81" s="44"/>
      <c r="H81" s="25"/>
      <c r="I81" s="26"/>
    </row>
    <row r="82" spans="1:13" ht="13" x14ac:dyDescent="0.3">
      <c r="A82" s="2">
        <v>4</v>
      </c>
      <c r="B82" s="2" t="s">
        <v>104</v>
      </c>
      <c r="C82" s="13" t="s">
        <v>111</v>
      </c>
    </row>
    <row r="83" spans="1:13" x14ac:dyDescent="0.25">
      <c r="A83" s="25"/>
      <c r="B83" s="24"/>
      <c r="C83" s="24"/>
      <c r="D83" s="45"/>
      <c r="E83" s="45"/>
      <c r="F83" s="44"/>
      <c r="H83" s="25"/>
      <c r="I83" s="26"/>
    </row>
    <row r="84" spans="1:13" ht="13" x14ac:dyDescent="0.25">
      <c r="A84" s="25"/>
      <c r="B84" s="25"/>
      <c r="C84" s="3" t="s">
        <v>109</v>
      </c>
      <c r="D84" s="59" t="s">
        <v>0</v>
      </c>
      <c r="E84" s="7">
        <f>E13</f>
        <v>9781.7796640332417</v>
      </c>
      <c r="F84" s="1" t="s">
        <v>110</v>
      </c>
      <c r="H84" s="25"/>
      <c r="I84" s="26"/>
    </row>
    <row r="85" spans="1:13" x14ac:dyDescent="0.25">
      <c r="A85" s="25"/>
      <c r="B85" s="25"/>
      <c r="C85" s="26"/>
      <c r="D85" s="24"/>
      <c r="E85" s="46"/>
      <c r="F85" s="25"/>
      <c r="H85" s="25"/>
      <c r="I85" s="25"/>
    </row>
    <row r="86" spans="1:13" x14ac:dyDescent="0.25">
      <c r="A86" s="25"/>
      <c r="B86" s="25" t="s">
        <v>216</v>
      </c>
      <c r="C86" s="26"/>
      <c r="D86" s="24"/>
      <c r="E86" s="46"/>
      <c r="F86" s="25"/>
      <c r="H86" s="25"/>
      <c r="I86" s="25"/>
    </row>
    <row r="87" spans="1:13" x14ac:dyDescent="0.25">
      <c r="A87" s="25"/>
      <c r="B87" s="25"/>
      <c r="C87" s="26"/>
      <c r="D87" s="24"/>
      <c r="E87" s="18"/>
      <c r="F87" s="25"/>
      <c r="H87" s="25"/>
      <c r="I87" s="25"/>
    </row>
    <row r="88" spans="1:13" x14ac:dyDescent="0.25">
      <c r="A88" s="25"/>
      <c r="B88" s="25"/>
      <c r="C88" s="26"/>
      <c r="D88" s="24"/>
      <c r="E88" s="46"/>
      <c r="F88" s="25"/>
      <c r="H88" s="25"/>
      <c r="I88" s="25"/>
    </row>
    <row r="89" spans="1:13" x14ac:dyDescent="0.25">
      <c r="D89" s="31"/>
      <c r="G89" s="14"/>
      <c r="J89" s="81"/>
      <c r="K89" s="81"/>
    </row>
    <row r="93" spans="1:13" x14ac:dyDescent="0.25">
      <c r="C93" s="3" t="s">
        <v>112</v>
      </c>
      <c r="D93" s="4" t="s">
        <v>0</v>
      </c>
      <c r="E93" s="75">
        <v>5.8741999999999996E-4</v>
      </c>
    </row>
    <row r="94" spans="1:13" x14ac:dyDescent="0.25">
      <c r="C94" s="3" t="s">
        <v>10</v>
      </c>
      <c r="D94" s="4" t="s">
        <v>0</v>
      </c>
      <c r="E94" s="7">
        <f>E13</f>
        <v>9781.7796640332417</v>
      </c>
      <c r="F94" s="1" t="s">
        <v>110</v>
      </c>
      <c r="L94" s="14"/>
      <c r="M94" s="81"/>
    </row>
    <row r="95" spans="1:13" ht="15.5" x14ac:dyDescent="0.35">
      <c r="C95" s="55" t="s">
        <v>102</v>
      </c>
      <c r="D95" s="4" t="s">
        <v>0</v>
      </c>
      <c r="E95" s="7">
        <f>E80</f>
        <v>34.024328549731607</v>
      </c>
      <c r="L95" s="53"/>
      <c r="M95" s="81"/>
    </row>
    <row r="96" spans="1:13" x14ac:dyDescent="0.25">
      <c r="C96" s="3" t="s">
        <v>120</v>
      </c>
      <c r="D96" s="4" t="s">
        <v>0</v>
      </c>
      <c r="E96" s="11">
        <f>E77</f>
        <v>36.450000000000003</v>
      </c>
      <c r="F96" s="1" t="s">
        <v>1</v>
      </c>
    </row>
    <row r="97" spans="1:9" x14ac:dyDescent="0.25">
      <c r="D97" s="4" t="s">
        <v>0</v>
      </c>
      <c r="E97" s="9">
        <f>E75</f>
        <v>58.877899999999997</v>
      </c>
      <c r="F97" s="1" t="s">
        <v>8</v>
      </c>
    </row>
    <row r="99" spans="1:9" x14ac:dyDescent="0.25">
      <c r="C99" s="19" t="s">
        <v>113</v>
      </c>
      <c r="D99" s="64" t="s">
        <v>0</v>
      </c>
      <c r="E99" s="65">
        <f>E93*E94*SQRT((E95*E96)/E97)</f>
        <v>26.371449250358904</v>
      </c>
      <c r="F99" s="16" t="s">
        <v>1</v>
      </c>
      <c r="I99" s="66"/>
    </row>
    <row r="101" spans="1:9" x14ac:dyDescent="0.25">
      <c r="C101" s="3" t="s">
        <v>114</v>
      </c>
      <c r="D101" s="4" t="s">
        <v>0</v>
      </c>
      <c r="E101" s="14" t="s">
        <v>115</v>
      </c>
    </row>
    <row r="102" spans="1:9" x14ac:dyDescent="0.25">
      <c r="C102" s="3" t="s">
        <v>118</v>
      </c>
      <c r="D102" s="4" t="s">
        <v>0</v>
      </c>
      <c r="E102" s="14">
        <f>14.7</f>
        <v>14.7</v>
      </c>
      <c r="F102" s="1" t="s">
        <v>1</v>
      </c>
    </row>
    <row r="104" spans="1:9" x14ac:dyDescent="0.25">
      <c r="C104" s="3" t="s">
        <v>116</v>
      </c>
      <c r="D104" s="4" t="s">
        <v>0</v>
      </c>
      <c r="E104" s="14" t="str">
        <f>IF(E99&gt;E102,"Choked","Not Choked")</f>
        <v>Choked</v>
      </c>
    </row>
    <row r="105" spans="1:9" x14ac:dyDescent="0.25">
      <c r="C105" s="3" t="s">
        <v>117</v>
      </c>
      <c r="D105" s="4" t="s">
        <v>0</v>
      </c>
      <c r="E105" s="11">
        <f>IF(E104="Choked",E99,E102)</f>
        <v>26.371449250358904</v>
      </c>
      <c r="F105" s="1" t="s">
        <v>1</v>
      </c>
    </row>
    <row r="107" spans="1:9" x14ac:dyDescent="0.25">
      <c r="C107" s="3" t="s">
        <v>120</v>
      </c>
      <c r="D107" s="4" t="s">
        <v>0</v>
      </c>
      <c r="E107" s="11">
        <f>E96</f>
        <v>36.450000000000003</v>
      </c>
      <c r="F107" s="1" t="s">
        <v>1</v>
      </c>
    </row>
    <row r="108" spans="1:9" x14ac:dyDescent="0.25">
      <c r="C108" s="3" t="s">
        <v>117</v>
      </c>
      <c r="D108" s="4" t="s">
        <v>0</v>
      </c>
      <c r="E108" s="11">
        <f>E105</f>
        <v>26.371449250358904</v>
      </c>
      <c r="F108" s="1" t="s">
        <v>1</v>
      </c>
    </row>
    <row r="109" spans="1:9" x14ac:dyDescent="0.25">
      <c r="E109" s="11"/>
    </row>
    <row r="110" spans="1:9" ht="13" x14ac:dyDescent="0.3">
      <c r="A110" s="2">
        <v>5</v>
      </c>
      <c r="B110" s="2" t="s">
        <v>231</v>
      </c>
      <c r="C110" s="13" t="s">
        <v>232</v>
      </c>
      <c r="E110" s="112"/>
    </row>
    <row r="111" spans="1:9" ht="13" x14ac:dyDescent="0.3">
      <c r="A111" s="2"/>
      <c r="B111" s="2"/>
      <c r="C111" s="13"/>
      <c r="E111" s="112"/>
    </row>
    <row r="112" spans="1:9" x14ac:dyDescent="0.25">
      <c r="C112" s="3" t="s">
        <v>124</v>
      </c>
      <c r="D112" s="4" t="s">
        <v>0</v>
      </c>
      <c r="E112" s="14">
        <f>VLOOKUP(E6,O48:Q70,3,FALSE)</f>
        <v>4.2500000000000003E-3</v>
      </c>
    </row>
    <row r="113" spans="3:7" ht="14" customHeight="1" x14ac:dyDescent="0.25">
      <c r="C113" s="3" t="s">
        <v>125</v>
      </c>
      <c r="D113" s="4" t="s">
        <v>0</v>
      </c>
      <c r="E113" s="14">
        <v>45.916699999999999</v>
      </c>
      <c r="F113" s="1" t="s">
        <v>129</v>
      </c>
    </row>
    <row r="115" spans="3:7" ht="13" customHeight="1" x14ac:dyDescent="0.25">
      <c r="C115" s="3" t="s">
        <v>18</v>
      </c>
      <c r="E115" s="5" t="s">
        <v>22</v>
      </c>
      <c r="F115" s="5" t="s">
        <v>23</v>
      </c>
      <c r="G115" s="1" t="s">
        <v>130</v>
      </c>
    </row>
    <row r="116" spans="3:7" ht="13" customHeight="1" x14ac:dyDescent="0.25">
      <c r="C116" s="3" t="s">
        <v>126</v>
      </c>
      <c r="D116" s="4" t="s">
        <v>0</v>
      </c>
      <c r="E116" s="5">
        <v>4</v>
      </c>
      <c r="F116" s="5">
        <v>30</v>
      </c>
      <c r="G116" s="5">
        <f>E116*F116</f>
        <v>120</v>
      </c>
    </row>
    <row r="117" spans="3:7" ht="13" customHeight="1" x14ac:dyDescent="0.25">
      <c r="C117" s="3" t="s">
        <v>127</v>
      </c>
      <c r="D117" s="4" t="s">
        <v>0</v>
      </c>
      <c r="E117" s="5">
        <v>1</v>
      </c>
      <c r="F117" s="5">
        <f>E117/(4*E112)</f>
        <v>58.823529411764703</v>
      </c>
      <c r="G117" s="69">
        <f>E117*F117</f>
        <v>58.823529411764703</v>
      </c>
    </row>
    <row r="118" spans="3:7" ht="13" customHeight="1" thickBot="1" x14ac:dyDescent="0.3">
      <c r="C118" s="70" t="s">
        <v>25</v>
      </c>
      <c r="D118" s="72" t="s">
        <v>0</v>
      </c>
      <c r="E118" s="68"/>
      <c r="F118" s="72">
        <f>SUM(F116:F117)</f>
        <v>88.823529411764696</v>
      </c>
      <c r="G118" s="71">
        <f>SUM(G116:G117)</f>
        <v>178.8235294117647</v>
      </c>
    </row>
    <row r="119" spans="3:7" ht="13" customHeight="1" x14ac:dyDescent="0.25"/>
    <row r="120" spans="3:7" ht="13" customHeight="1" x14ac:dyDescent="0.25">
      <c r="C120" s="3" t="s">
        <v>128</v>
      </c>
      <c r="D120" s="4" t="s">
        <v>0</v>
      </c>
      <c r="E120" s="9">
        <f>G118*E8</f>
        <v>719.94352941176464</v>
      </c>
      <c r="F120" s="1" t="s">
        <v>5</v>
      </c>
    </row>
    <row r="121" spans="3:7" x14ac:dyDescent="0.25">
      <c r="D121" s="4" t="s">
        <v>0</v>
      </c>
      <c r="E121" s="9">
        <f>E120/12</f>
        <v>59.995294117647056</v>
      </c>
      <c r="F121" s="1" t="s">
        <v>129</v>
      </c>
    </row>
    <row r="123" spans="3:7" x14ac:dyDescent="0.25">
      <c r="C123" s="3" t="s">
        <v>131</v>
      </c>
      <c r="D123" s="4" t="s">
        <v>0</v>
      </c>
      <c r="E123" s="9">
        <f>E113+E121</f>
        <v>105.91199411764705</v>
      </c>
      <c r="F123" s="1" t="s">
        <v>129</v>
      </c>
    </row>
    <row r="124" spans="3:7" x14ac:dyDescent="0.25">
      <c r="C124" s="3" t="s">
        <v>37</v>
      </c>
      <c r="D124" s="4" t="s">
        <v>0</v>
      </c>
      <c r="E124" s="14">
        <f>E8</f>
        <v>4.0259999999999998</v>
      </c>
      <c r="F124" s="1" t="s">
        <v>5</v>
      </c>
    </row>
    <row r="125" spans="3:7" x14ac:dyDescent="0.25">
      <c r="C125" s="3" t="s">
        <v>36</v>
      </c>
      <c r="D125" s="4" t="s">
        <v>0</v>
      </c>
      <c r="E125" s="14">
        <f>E112</f>
        <v>4.2500000000000003E-3</v>
      </c>
    </row>
    <row r="126" spans="3:7" x14ac:dyDescent="0.25">
      <c r="C126" s="3" t="s">
        <v>132</v>
      </c>
      <c r="D126" s="4" t="s">
        <v>0</v>
      </c>
      <c r="E126" s="14">
        <v>24</v>
      </c>
    </row>
    <row r="127" spans="3:7" x14ac:dyDescent="0.25">
      <c r="C127" s="3" t="s">
        <v>133</v>
      </c>
      <c r="D127" s="4" t="s">
        <v>0</v>
      </c>
      <c r="E127" s="73">
        <v>2898000</v>
      </c>
    </row>
    <row r="128" spans="3:7" x14ac:dyDescent="0.25">
      <c r="C128" s="3" t="s">
        <v>117</v>
      </c>
      <c r="D128" s="4" t="s">
        <v>0</v>
      </c>
      <c r="E128" s="11">
        <f>E108</f>
        <v>26.371449250358904</v>
      </c>
      <c r="F128" s="1" t="s">
        <v>1</v>
      </c>
    </row>
    <row r="129" spans="3:6" x14ac:dyDescent="0.25">
      <c r="C129" s="3" t="s">
        <v>120</v>
      </c>
      <c r="D129" s="4" t="s">
        <v>0</v>
      </c>
      <c r="E129" s="11">
        <f>E33</f>
        <v>36.450000000000003</v>
      </c>
      <c r="F129" s="1" t="s">
        <v>1</v>
      </c>
    </row>
    <row r="130" spans="3:6" x14ac:dyDescent="0.25">
      <c r="D130" s="4" t="s">
        <v>0</v>
      </c>
      <c r="E130" s="30">
        <f>E46</f>
        <v>58.877899999999997</v>
      </c>
      <c r="F130" s="1" t="s">
        <v>8</v>
      </c>
    </row>
    <row r="131" spans="3:6" x14ac:dyDescent="0.25">
      <c r="C131" s="3" t="s">
        <v>10</v>
      </c>
      <c r="D131" s="4" t="s">
        <v>0</v>
      </c>
      <c r="E131" s="7">
        <f>E94</f>
        <v>9781.7796640332417</v>
      </c>
      <c r="F131" s="1" t="s">
        <v>110</v>
      </c>
    </row>
    <row r="132" spans="3:6" ht="13" x14ac:dyDescent="0.3">
      <c r="C132" s="20" t="s">
        <v>119</v>
      </c>
      <c r="D132" s="4" t="s">
        <v>0</v>
      </c>
      <c r="E132" s="28">
        <v>1.0211622409066163</v>
      </c>
      <c r="F132" s="1" t="s">
        <v>26</v>
      </c>
    </row>
    <row r="133" spans="3:6" ht="13" x14ac:dyDescent="0.3">
      <c r="C133" s="20" t="s">
        <v>134</v>
      </c>
      <c r="D133" s="4" t="s">
        <v>0</v>
      </c>
      <c r="E133" s="11">
        <f>(E128/E129)</f>
        <v>0.7234965500784335</v>
      </c>
      <c r="F133" s="1" t="s">
        <v>121</v>
      </c>
    </row>
    <row r="134" spans="3:6" ht="15.5" x14ac:dyDescent="0.35">
      <c r="C134" s="55" t="s">
        <v>102</v>
      </c>
      <c r="D134" s="4" t="s">
        <v>0</v>
      </c>
      <c r="E134" s="7">
        <f>E80</f>
        <v>34.024328549731607</v>
      </c>
    </row>
    <row r="140" spans="3:6" x14ac:dyDescent="0.25">
      <c r="E140" s="63"/>
    </row>
    <row r="142" spans="3:6" x14ac:dyDescent="0.25">
      <c r="C142" s="3" t="s">
        <v>137</v>
      </c>
      <c r="D142" s="4" t="s">
        <v>0</v>
      </c>
      <c r="E142" s="104">
        <f>E127*E129*E130/(E131^2)</f>
        <v>64.999867791541703</v>
      </c>
    </row>
    <row r="143" spans="3:6" ht="13" x14ac:dyDescent="0.3">
      <c r="C143" s="20" t="s">
        <v>135</v>
      </c>
      <c r="D143" s="4" t="s">
        <v>0</v>
      </c>
      <c r="E143" s="109">
        <f>(E132-E133)/(1-E134)</f>
        <v>-9.0135274175196511E-3</v>
      </c>
    </row>
    <row r="144" spans="3:6" ht="15.5" x14ac:dyDescent="0.35">
      <c r="C144" s="55" t="s">
        <v>146</v>
      </c>
      <c r="D144" s="4" t="s">
        <v>0</v>
      </c>
      <c r="E144" s="104">
        <f>E134/((1-E134)^2)</f>
        <v>3.1197627680551419E-2</v>
      </c>
      <c r="F144" s="1">
        <f>((1-E134)*E132+E134)</f>
        <v>0.30113120345133382</v>
      </c>
    </row>
    <row r="145" spans="1:28" x14ac:dyDescent="0.25">
      <c r="A145" s="1" t="s">
        <v>228</v>
      </c>
      <c r="C145" s="3" t="s">
        <v>136</v>
      </c>
      <c r="D145" s="4" t="s">
        <v>0</v>
      </c>
      <c r="E145" s="35">
        <f>((1-E134)*E132+E134)/((1-E134)*E133+E134)</f>
        <v>2.9722739578968222E-2</v>
      </c>
      <c r="F145" s="1">
        <f>((1-E134)*E133+E134)</f>
        <v>10.131340775344071</v>
      </c>
      <c r="G145" s="1">
        <f>F144/F145</f>
        <v>2.9722739578968222E-2</v>
      </c>
    </row>
    <row r="146" spans="1:28" x14ac:dyDescent="0.25">
      <c r="C146" s="3" t="s">
        <v>27</v>
      </c>
      <c r="D146" s="4" t="s">
        <v>0</v>
      </c>
      <c r="E146" s="35">
        <f>E126*E125*E123/E124</f>
        <v>2.6833143070044714</v>
      </c>
    </row>
    <row r="147" spans="1:28" x14ac:dyDescent="0.25">
      <c r="C147" s="3" t="s">
        <v>28</v>
      </c>
      <c r="D147" s="5" t="s">
        <v>0</v>
      </c>
      <c r="E147" s="35">
        <f>E142*(E143-E144*LN(E145))+LN(E145*(E133/E132))</f>
        <v>2.6832508151554921</v>
      </c>
    </row>
    <row r="148" spans="1:28" x14ac:dyDescent="0.25">
      <c r="C148" s="1" t="s">
        <v>29</v>
      </c>
      <c r="D148" s="4" t="s">
        <v>0</v>
      </c>
      <c r="E148" s="35">
        <f>E146-E147</f>
        <v>6.3491848979246868E-5</v>
      </c>
      <c r="F148" s="1" t="s">
        <v>233</v>
      </c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</row>
    <row r="150" spans="1:28" ht="13" x14ac:dyDescent="0.3">
      <c r="C150" s="20" t="s">
        <v>119</v>
      </c>
      <c r="D150" s="4" t="s">
        <v>0</v>
      </c>
      <c r="E150" s="11">
        <f>IF(E148&lt;0.0002,E132,"Calculate n2 again")</f>
        <v>1.0211622409066163</v>
      </c>
    </row>
    <row r="151" spans="1:28" x14ac:dyDescent="0.25">
      <c r="C151" s="3" t="s">
        <v>217</v>
      </c>
      <c r="D151" s="4" t="s">
        <v>0</v>
      </c>
      <c r="E151" s="30">
        <f>E150*E129</f>
        <v>37.221363681046171</v>
      </c>
      <c r="F151" s="1" t="s">
        <v>1</v>
      </c>
    </row>
    <row r="152" spans="1:28" x14ac:dyDescent="0.25">
      <c r="C152" s="3" t="s">
        <v>117</v>
      </c>
      <c r="D152" s="4" t="s">
        <v>0</v>
      </c>
      <c r="E152" s="11">
        <f>E128</f>
        <v>26.371449250358904</v>
      </c>
      <c r="F152" s="1" t="s">
        <v>218</v>
      </c>
    </row>
    <row r="154" spans="1:28" x14ac:dyDescent="0.25">
      <c r="C154" s="3" t="s">
        <v>219</v>
      </c>
      <c r="D154" s="4" t="s">
        <v>0</v>
      </c>
      <c r="E154" s="11">
        <f>E151-E152</f>
        <v>10.849914430687267</v>
      </c>
      <c r="F154" s="1" t="s">
        <v>11</v>
      </c>
    </row>
    <row r="155" spans="1:28" x14ac:dyDescent="0.25">
      <c r="C155" s="3" t="s">
        <v>220</v>
      </c>
      <c r="D155" s="4" t="s">
        <v>0</v>
      </c>
      <c r="E155" s="11">
        <f>E154*100/E123</f>
        <v>10.244273579284307</v>
      </c>
      <c r="F155" s="1" t="s">
        <v>221</v>
      </c>
    </row>
    <row r="157" spans="1:28" x14ac:dyDescent="0.25">
      <c r="C157" s="3" t="s">
        <v>227</v>
      </c>
      <c r="D157" s="4" t="s">
        <v>0</v>
      </c>
      <c r="E157" s="11">
        <f>(E154/E17)*100</f>
        <v>14.965399214741057</v>
      </c>
    </row>
    <row r="177" spans="1:28" s="14" customFormat="1" x14ac:dyDescent="0.25">
      <c r="A177" s="1"/>
      <c r="B177" s="1"/>
      <c r="C177" s="3"/>
      <c r="D177" s="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</sheetData>
  <mergeCells count="2">
    <mergeCell ref="N6:AB6"/>
    <mergeCell ref="O7:AB7"/>
  </mergeCells>
  <phoneticPr fontId="12" type="noConversion"/>
  <dataValidations count="2">
    <dataValidation type="list" allowBlank="1" showInputMessage="1" showErrorMessage="1" sqref="E7" xr:uid="{B71E7397-4F35-4CCA-8F24-621B2F2A57C8}">
      <formula1>$O$8:$AB$8</formula1>
    </dataValidation>
    <dataValidation type="list" allowBlank="1" showInputMessage="1" showErrorMessage="1" sqref="E6" xr:uid="{9C6D84F5-F73E-41ED-93CF-D847AFA5EE73}">
      <formula1>$N$10:$N$45</formula1>
    </dataValidation>
  </dataValidations>
  <pageMargins left="0.7" right="0.7" top="0.75" bottom="0.75" header="0.3" footer="0.3"/>
  <pageSetup scale="69" orientation="portrait" r:id="rId1"/>
  <rowBreaks count="3" manualBreakCount="3">
    <brk id="73" max="27" man="1"/>
    <brk id="135" max="27" man="1"/>
    <brk id="171" max="27" man="1"/>
  </rowBreaks>
  <colBreaks count="1" manualBreakCount="1">
    <brk id="13" max="23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50060-2594-4C7E-9C0B-16F24E8572D5}">
  <sheetPr codeName="Sheet5"/>
  <dimension ref="A3:T205"/>
  <sheetViews>
    <sheetView view="pageBreakPreview" topLeftCell="A194" zoomScaleNormal="100" zoomScaleSheetLayoutView="100" workbookViewId="0">
      <selection activeCell="D151" sqref="D151"/>
    </sheetView>
  </sheetViews>
  <sheetFormatPr defaultRowHeight="12.5" x14ac:dyDescent="0.25"/>
  <cols>
    <col min="1" max="1" width="4.36328125" style="1" customWidth="1"/>
    <col min="2" max="2" width="15.453125" style="1" customWidth="1"/>
    <col min="3" max="5" width="7.6328125" style="80" customWidth="1"/>
    <col min="6" max="6" width="8.453125" style="80" customWidth="1"/>
    <col min="7" max="7" width="7.453125" style="80" customWidth="1"/>
    <col min="8" max="8" width="9.453125" style="80" customWidth="1"/>
    <col min="9" max="9" width="8" style="80" customWidth="1"/>
    <col min="10" max="10" width="7.453125" style="82" customWidth="1"/>
    <col min="11" max="11" width="9" style="82" customWidth="1"/>
    <col min="12" max="12" width="7.90625" style="82" customWidth="1"/>
    <col min="13" max="13" width="7.90625" style="80" customWidth="1"/>
    <col min="14" max="14" width="7.453125" style="1" customWidth="1"/>
    <col min="15" max="15" width="7.90625" style="80" customWidth="1"/>
    <col min="16" max="17" width="7.6328125" style="1" customWidth="1"/>
    <col min="18" max="18" width="11.453125" style="1" customWidth="1"/>
    <col min="19" max="19" width="8.7265625" style="1"/>
    <col min="20" max="20" width="8.7265625" style="1" customWidth="1"/>
    <col min="21" max="16384" width="8.7265625" style="1"/>
  </cols>
  <sheetData>
    <row r="3" spans="2:5" ht="13" x14ac:dyDescent="0.3">
      <c r="B3" s="2" t="s">
        <v>39</v>
      </c>
      <c r="C3" s="13" t="s">
        <v>208</v>
      </c>
    </row>
    <row r="4" spans="2:5" ht="13" x14ac:dyDescent="0.3">
      <c r="B4" s="1" t="s">
        <v>4</v>
      </c>
      <c r="C4" s="38" t="e">
        <f>#REF!</f>
        <v>#REF!</v>
      </c>
    </row>
    <row r="6" spans="2:5" x14ac:dyDescent="0.25">
      <c r="B6" s="3"/>
    </row>
    <row r="7" spans="2:5" x14ac:dyDescent="0.25">
      <c r="B7" s="3" t="s">
        <v>147</v>
      </c>
      <c r="C7" s="80" t="s">
        <v>0</v>
      </c>
      <c r="D7" s="80">
        <v>72.5</v>
      </c>
      <c r="E7" s="80" t="s">
        <v>3</v>
      </c>
    </row>
    <row r="8" spans="2:5" x14ac:dyDescent="0.25">
      <c r="B8" s="3" t="s">
        <v>16</v>
      </c>
      <c r="C8" s="80" t="s">
        <v>0</v>
      </c>
      <c r="D8" s="80">
        <f>1.1*D7+14.7</f>
        <v>94.45</v>
      </c>
      <c r="E8" s="80" t="s">
        <v>1</v>
      </c>
    </row>
    <row r="9" spans="2:5" x14ac:dyDescent="0.25">
      <c r="B9" s="3" t="s">
        <v>17</v>
      </c>
      <c r="C9" s="80" t="s">
        <v>0</v>
      </c>
      <c r="D9" s="80">
        <v>248</v>
      </c>
      <c r="E9" s="80" t="s">
        <v>2</v>
      </c>
    </row>
    <row r="11" spans="2:5" x14ac:dyDescent="0.25">
      <c r="B11" s="1" t="s">
        <v>148</v>
      </c>
    </row>
    <row r="12" spans="2:5" x14ac:dyDescent="0.25">
      <c r="B12" s="77" t="s">
        <v>149</v>
      </c>
    </row>
    <row r="13" spans="2:5" x14ac:dyDescent="0.25">
      <c r="B13" s="5"/>
    </row>
    <row r="14" spans="2:5" x14ac:dyDescent="0.25">
      <c r="B14" s="77" t="s">
        <v>150</v>
      </c>
    </row>
    <row r="15" spans="2:5" x14ac:dyDescent="0.25">
      <c r="B15" s="5"/>
    </row>
    <row r="16" spans="2:5" x14ac:dyDescent="0.25">
      <c r="B16" s="5"/>
    </row>
    <row r="17" spans="2:4" x14ac:dyDescent="0.25">
      <c r="B17" s="5"/>
    </row>
    <row r="18" spans="2:4" x14ac:dyDescent="0.25">
      <c r="B18" s="5"/>
    </row>
    <row r="19" spans="2:4" x14ac:dyDescent="0.25">
      <c r="B19" s="5"/>
    </row>
    <row r="20" spans="2:4" ht="13" x14ac:dyDescent="0.3">
      <c r="B20" s="13" t="s">
        <v>40</v>
      </c>
    </row>
    <row r="21" spans="2:4" x14ac:dyDescent="0.25">
      <c r="B21" s="3" t="s">
        <v>13</v>
      </c>
      <c r="C21" s="80" t="s">
        <v>0</v>
      </c>
      <c r="D21" s="83" t="s">
        <v>151</v>
      </c>
    </row>
    <row r="22" spans="2:4" x14ac:dyDescent="0.25">
      <c r="B22" s="3" t="s">
        <v>152</v>
      </c>
      <c r="C22" s="80" t="s">
        <v>0</v>
      </c>
      <c r="D22" s="83" t="s">
        <v>153</v>
      </c>
    </row>
    <row r="23" spans="2:4" x14ac:dyDescent="0.25">
      <c r="B23" s="3" t="s">
        <v>41</v>
      </c>
      <c r="C23" s="80" t="s">
        <v>0</v>
      </c>
      <c r="D23" s="83" t="s">
        <v>154</v>
      </c>
    </row>
    <row r="24" spans="2:4" x14ac:dyDescent="0.25">
      <c r="B24" s="3"/>
      <c r="D24" s="83" t="s">
        <v>155</v>
      </c>
    </row>
    <row r="25" spans="2:4" x14ac:dyDescent="0.25">
      <c r="B25" s="3" t="s">
        <v>42</v>
      </c>
      <c r="C25" s="80" t="s">
        <v>0</v>
      </c>
      <c r="D25" s="83" t="s">
        <v>156</v>
      </c>
    </row>
    <row r="26" spans="2:4" x14ac:dyDescent="0.25">
      <c r="B26" s="3" t="s">
        <v>157</v>
      </c>
      <c r="C26" s="80" t="s">
        <v>0</v>
      </c>
      <c r="D26" s="83" t="s">
        <v>158</v>
      </c>
    </row>
    <row r="27" spans="2:4" x14ac:dyDescent="0.25">
      <c r="B27" s="3" t="s">
        <v>74</v>
      </c>
      <c r="C27" s="80" t="s">
        <v>0</v>
      </c>
      <c r="D27" s="83" t="s">
        <v>159</v>
      </c>
    </row>
    <row r="28" spans="2:4" x14ac:dyDescent="0.25">
      <c r="B28" s="3" t="s">
        <v>10</v>
      </c>
      <c r="C28" s="80" t="s">
        <v>0</v>
      </c>
      <c r="D28" s="83" t="s">
        <v>161</v>
      </c>
    </row>
    <row r="29" spans="2:4" x14ac:dyDescent="0.25">
      <c r="B29" s="3"/>
    </row>
    <row r="30" spans="2:4" x14ac:dyDescent="0.25">
      <c r="B30" s="76" t="s">
        <v>162</v>
      </c>
    </row>
    <row r="31" spans="2:4" x14ac:dyDescent="0.25">
      <c r="B31" s="76"/>
    </row>
    <row r="32" spans="2:4" x14ac:dyDescent="0.25">
      <c r="B32" s="76"/>
    </row>
    <row r="33" spans="2:4" x14ac:dyDescent="0.25">
      <c r="B33" s="3"/>
    </row>
    <row r="34" spans="2:4" x14ac:dyDescent="0.25">
      <c r="B34" s="76"/>
    </row>
    <row r="35" spans="2:4" x14ac:dyDescent="0.25">
      <c r="B35" s="5"/>
    </row>
    <row r="36" spans="2:4" x14ac:dyDescent="0.25">
      <c r="B36" s="3"/>
    </row>
    <row r="37" spans="2:4" x14ac:dyDescent="0.25">
      <c r="B37" s="79" t="s">
        <v>163</v>
      </c>
    </row>
    <row r="38" spans="2:4" x14ac:dyDescent="0.25">
      <c r="B38" s="5"/>
    </row>
    <row r="39" spans="2:4" x14ac:dyDescent="0.25">
      <c r="B39" s="3"/>
      <c r="C39" s="80" t="s">
        <v>0</v>
      </c>
      <c r="D39" s="83" t="s">
        <v>164</v>
      </c>
    </row>
    <row r="40" spans="2:4" x14ac:dyDescent="0.25">
      <c r="B40" s="3" t="s">
        <v>201</v>
      </c>
      <c r="C40" s="80" t="s">
        <v>0</v>
      </c>
      <c r="D40" s="83" t="s">
        <v>165</v>
      </c>
    </row>
    <row r="41" spans="2:4" x14ac:dyDescent="0.25">
      <c r="B41" s="3" t="s">
        <v>166</v>
      </c>
      <c r="C41" s="80" t="s">
        <v>0</v>
      </c>
      <c r="D41" s="83" t="s">
        <v>167</v>
      </c>
    </row>
    <row r="42" spans="2:4" x14ac:dyDescent="0.25">
      <c r="B42" s="3" t="s">
        <v>168</v>
      </c>
      <c r="C42" s="80" t="s">
        <v>0</v>
      </c>
      <c r="D42" s="83" t="s">
        <v>169</v>
      </c>
    </row>
    <row r="43" spans="2:4" x14ac:dyDescent="0.25">
      <c r="B43" s="3"/>
    </row>
    <row r="44" spans="2:4" x14ac:dyDescent="0.25">
      <c r="B44" s="77" t="s">
        <v>170</v>
      </c>
    </row>
    <row r="45" spans="2:4" x14ac:dyDescent="0.25">
      <c r="B45" s="3"/>
    </row>
    <row r="46" spans="2:4" x14ac:dyDescent="0.25">
      <c r="B46" s="3"/>
    </row>
    <row r="47" spans="2:4" x14ac:dyDescent="0.25">
      <c r="B47" s="3"/>
    </row>
    <row r="48" spans="2:4" x14ac:dyDescent="0.25">
      <c r="B48" s="3"/>
    </row>
    <row r="49" spans="2:20" x14ac:dyDescent="0.25">
      <c r="B49" s="3"/>
    </row>
    <row r="50" spans="2:20" x14ac:dyDescent="0.25">
      <c r="B50" s="3"/>
    </row>
    <row r="51" spans="2:20" x14ac:dyDescent="0.25">
      <c r="B51" s="77" t="s">
        <v>171</v>
      </c>
      <c r="Q51" s="1" t="s">
        <v>193</v>
      </c>
    </row>
    <row r="52" spans="2:20" x14ac:dyDescent="0.25">
      <c r="B52" s="77" t="s">
        <v>172</v>
      </c>
    </row>
    <row r="53" spans="2:20" x14ac:dyDescent="0.25">
      <c r="B53" s="77" t="s">
        <v>173</v>
      </c>
    </row>
    <row r="54" spans="2:20" x14ac:dyDescent="0.25">
      <c r="B54" s="77" t="s">
        <v>174</v>
      </c>
    </row>
    <row r="55" spans="2:20" x14ac:dyDescent="0.25">
      <c r="B55" s="77"/>
    </row>
    <row r="56" spans="2:20" x14ac:dyDescent="0.25">
      <c r="B56" s="3"/>
    </row>
    <row r="57" spans="2:20" ht="13" x14ac:dyDescent="0.3">
      <c r="B57" s="114" t="s">
        <v>175</v>
      </c>
      <c r="C57" s="114" t="s">
        <v>176</v>
      </c>
      <c r="D57" s="114" t="s">
        <v>177</v>
      </c>
      <c r="E57" s="84" t="s">
        <v>184</v>
      </c>
      <c r="F57" s="84" t="s">
        <v>183</v>
      </c>
      <c r="G57" s="84" t="s">
        <v>77</v>
      </c>
      <c r="H57" s="84" t="s">
        <v>178</v>
      </c>
      <c r="I57" s="95" t="s">
        <v>186</v>
      </c>
      <c r="J57" s="84" t="s">
        <v>199</v>
      </c>
      <c r="K57" s="114" t="s">
        <v>200</v>
      </c>
      <c r="L57" s="84" t="s">
        <v>197</v>
      </c>
      <c r="M57" s="84" t="s">
        <v>76</v>
      </c>
      <c r="N57" s="84" t="s">
        <v>77</v>
      </c>
      <c r="O57" s="84" t="s">
        <v>178</v>
      </c>
      <c r="P57" s="84" t="s">
        <v>179</v>
      </c>
      <c r="Q57" s="84" t="s">
        <v>180</v>
      </c>
      <c r="R57" s="114"/>
      <c r="S57" s="114"/>
      <c r="T57" s="114" t="s">
        <v>160</v>
      </c>
    </row>
    <row r="58" spans="2:20" ht="13" x14ac:dyDescent="0.3">
      <c r="B58" s="115"/>
      <c r="C58" s="115"/>
      <c r="D58" s="115"/>
      <c r="E58" s="84" t="s">
        <v>185</v>
      </c>
      <c r="F58" s="84" t="s">
        <v>190</v>
      </c>
      <c r="G58" s="84" t="s">
        <v>187</v>
      </c>
      <c r="H58" s="84" t="s">
        <v>187</v>
      </c>
      <c r="I58" s="84" t="s">
        <v>187</v>
      </c>
      <c r="J58" s="84" t="s">
        <v>187</v>
      </c>
      <c r="K58" s="115"/>
      <c r="L58" s="84" t="s">
        <v>194</v>
      </c>
      <c r="M58" s="84" t="s">
        <v>194</v>
      </c>
      <c r="N58" s="84" t="s">
        <v>19</v>
      </c>
      <c r="O58" s="84" t="s">
        <v>19</v>
      </c>
      <c r="P58" s="84" t="s">
        <v>19</v>
      </c>
      <c r="Q58" s="84" t="s">
        <v>19</v>
      </c>
      <c r="R58" s="115"/>
      <c r="S58" s="115"/>
      <c r="T58" s="115"/>
    </row>
    <row r="59" spans="2:20" ht="13" x14ac:dyDescent="0.3">
      <c r="B59" s="84"/>
      <c r="C59" s="84"/>
      <c r="D59" s="84"/>
      <c r="E59" s="84" t="s">
        <v>78</v>
      </c>
      <c r="F59" s="84" t="s">
        <v>79</v>
      </c>
      <c r="G59" s="84" t="s">
        <v>189</v>
      </c>
      <c r="H59" s="84" t="s">
        <v>188</v>
      </c>
      <c r="I59" s="84" t="s">
        <v>191</v>
      </c>
      <c r="J59" s="84"/>
      <c r="K59" s="84"/>
      <c r="L59" s="84" t="s">
        <v>198</v>
      </c>
      <c r="M59" s="84" t="s">
        <v>195</v>
      </c>
      <c r="N59" s="84"/>
      <c r="O59" s="84"/>
      <c r="P59" s="84"/>
      <c r="Q59" s="84"/>
      <c r="R59" s="84"/>
      <c r="S59" s="84"/>
      <c r="T59" s="84"/>
    </row>
    <row r="60" spans="2:20" x14ac:dyDescent="0.25">
      <c r="B60" s="22"/>
      <c r="C60" s="22" t="s">
        <v>1</v>
      </c>
      <c r="D60" s="22" t="s">
        <v>2</v>
      </c>
      <c r="E60" s="22"/>
      <c r="F60" s="22"/>
      <c r="G60" s="22" t="s">
        <v>192</v>
      </c>
      <c r="H60" s="22" t="s">
        <v>192</v>
      </c>
      <c r="I60" s="22" t="s">
        <v>192</v>
      </c>
      <c r="J60" s="22" t="s">
        <v>192</v>
      </c>
      <c r="K60" s="22" t="s">
        <v>192</v>
      </c>
      <c r="L60" s="22"/>
      <c r="M60" s="22" t="s">
        <v>196</v>
      </c>
      <c r="N60" s="22" t="s">
        <v>8</v>
      </c>
      <c r="O60" s="22" t="s">
        <v>8</v>
      </c>
      <c r="P60" s="22" t="s">
        <v>8</v>
      </c>
      <c r="Q60" s="22" t="s">
        <v>8</v>
      </c>
      <c r="R60" s="22" t="s">
        <v>202</v>
      </c>
      <c r="S60" s="22" t="s">
        <v>181</v>
      </c>
      <c r="T60" s="22" t="s">
        <v>182</v>
      </c>
    </row>
    <row r="61" spans="2:20" x14ac:dyDescent="0.25">
      <c r="B61" s="22">
        <v>0</v>
      </c>
      <c r="C61" s="22">
        <f>D8</f>
        <v>94.45</v>
      </c>
      <c r="D61" s="22">
        <v>248</v>
      </c>
      <c r="E61" s="22">
        <v>0</v>
      </c>
      <c r="F61" s="22">
        <v>0</v>
      </c>
      <c r="G61" s="22">
        <v>0</v>
      </c>
      <c r="H61" s="22">
        <v>0.364867</v>
      </c>
      <c r="I61" s="22">
        <f>H61</f>
        <v>0.364867</v>
      </c>
      <c r="J61" s="90">
        <f>$H$61</f>
        <v>0.364867</v>
      </c>
      <c r="K61" s="110">
        <f>I61-J61</f>
        <v>0</v>
      </c>
      <c r="L61" s="22">
        <v>0</v>
      </c>
      <c r="M61" s="22"/>
      <c r="N61" s="22">
        <v>0</v>
      </c>
      <c r="O61" s="22">
        <v>58.8904</v>
      </c>
      <c r="P61" s="22">
        <f t="shared" ref="P61:P92" si="0">O61</f>
        <v>58.8904</v>
      </c>
      <c r="Q61" s="22" t="s">
        <v>15</v>
      </c>
      <c r="R61" s="21">
        <v>0</v>
      </c>
      <c r="S61" s="21"/>
      <c r="T61" s="21"/>
    </row>
    <row r="62" spans="2:20" x14ac:dyDescent="0.25">
      <c r="B62" s="22">
        <f>B61+1</f>
        <v>1</v>
      </c>
      <c r="C62" s="22">
        <f>C61-1</f>
        <v>93.45</v>
      </c>
      <c r="D62" s="22">
        <v>248</v>
      </c>
      <c r="E62" s="22">
        <v>0</v>
      </c>
      <c r="F62" s="22">
        <v>0</v>
      </c>
      <c r="G62" s="22">
        <v>0</v>
      </c>
      <c r="H62" s="111">
        <v>0.364869</v>
      </c>
      <c r="I62" s="22">
        <f t="shared" ref="I62:I125" si="1">H62</f>
        <v>0.364869</v>
      </c>
      <c r="J62" s="90">
        <f t="shared" ref="J62:J125" si="2">$H$61</f>
        <v>0.364867</v>
      </c>
      <c r="K62" s="110">
        <f>I62-J62</f>
        <v>2.0000000000020002E-6</v>
      </c>
      <c r="L62" s="22">
        <v>0</v>
      </c>
      <c r="M62" s="22"/>
      <c r="N62" s="22">
        <v>0</v>
      </c>
      <c r="O62" s="22">
        <v>58.8902</v>
      </c>
      <c r="P62" s="22">
        <f t="shared" si="0"/>
        <v>58.8902</v>
      </c>
      <c r="Q62" s="22">
        <f>(P62+P61)/2</f>
        <v>58.890299999999996</v>
      </c>
      <c r="R62" s="22">
        <f t="shared" ref="R62:R93" si="3">(C62-C61)/Q62</f>
        <v>-1.6980725178849489E-2</v>
      </c>
      <c r="S62" s="22">
        <f>R62+R61</f>
        <v>-1.6980725178849489E-2</v>
      </c>
      <c r="T62" s="22">
        <f>P62*SQRT((-2*32.17*144*S62))</f>
        <v>738.65717413261029</v>
      </c>
    </row>
    <row r="63" spans="2:20" x14ac:dyDescent="0.25">
      <c r="B63" s="22">
        <f t="shared" ref="B63:B126" si="4">B62+1</f>
        <v>2</v>
      </c>
      <c r="C63" s="22">
        <f t="shared" ref="C63:C126" si="5">C62-1</f>
        <v>92.45</v>
      </c>
      <c r="D63" s="22">
        <v>248</v>
      </c>
      <c r="E63" s="22">
        <v>0</v>
      </c>
      <c r="F63" s="22">
        <v>0</v>
      </c>
      <c r="G63" s="22">
        <v>0</v>
      </c>
      <c r="H63" s="111">
        <v>0.364869</v>
      </c>
      <c r="I63" s="22">
        <f t="shared" si="1"/>
        <v>0.364869</v>
      </c>
      <c r="J63" s="90">
        <f t="shared" si="2"/>
        <v>0.364867</v>
      </c>
      <c r="K63" s="110">
        <f t="shared" ref="K63:K126" si="6">I63-J63</f>
        <v>2.0000000000020002E-6</v>
      </c>
      <c r="L63" s="22">
        <v>0</v>
      </c>
      <c r="M63" s="22"/>
      <c r="N63" s="22">
        <v>0</v>
      </c>
      <c r="O63" s="22">
        <v>58.889899999999997</v>
      </c>
      <c r="P63" s="22">
        <f t="shared" si="0"/>
        <v>58.889899999999997</v>
      </c>
      <c r="Q63" s="22">
        <f t="shared" ref="Q63:Q115" si="7">(P63+P62)/2</f>
        <v>58.890050000000002</v>
      </c>
      <c r="R63" s="22">
        <f t="shared" si="3"/>
        <v>-1.6980797265412406E-2</v>
      </c>
      <c r="S63" s="22">
        <f>R63+S62</f>
        <v>-3.3961522444261899E-2</v>
      </c>
      <c r="T63" s="22">
        <f t="shared" ref="T63:T64" si="8">P63*SQRT((-2*32.17*144*S63))</f>
        <v>1044.6147807247951</v>
      </c>
    </row>
    <row r="64" spans="2:20" x14ac:dyDescent="0.25">
      <c r="B64" s="22">
        <f t="shared" si="4"/>
        <v>3</v>
      </c>
      <c r="C64" s="22">
        <f t="shared" si="5"/>
        <v>91.45</v>
      </c>
      <c r="D64" s="22">
        <v>248</v>
      </c>
      <c r="E64" s="22">
        <v>0</v>
      </c>
      <c r="F64" s="22">
        <v>0</v>
      </c>
      <c r="G64" s="22">
        <v>0</v>
      </c>
      <c r="H64" s="22">
        <v>0.36487199999999997</v>
      </c>
      <c r="I64" s="22">
        <f t="shared" si="1"/>
        <v>0.36487199999999997</v>
      </c>
      <c r="J64" s="90">
        <f t="shared" si="2"/>
        <v>0.364867</v>
      </c>
      <c r="K64" s="110">
        <f t="shared" si="6"/>
        <v>4.9999999999772449E-6</v>
      </c>
      <c r="L64" s="22">
        <v>0</v>
      </c>
      <c r="M64" s="22"/>
      <c r="N64" s="22">
        <v>0</v>
      </c>
      <c r="O64" s="22">
        <v>58.889699999999998</v>
      </c>
      <c r="P64" s="22">
        <f t="shared" si="0"/>
        <v>58.889699999999998</v>
      </c>
      <c r="Q64" s="22">
        <f t="shared" si="7"/>
        <v>58.889799999999994</v>
      </c>
      <c r="R64" s="22">
        <f t="shared" si="3"/>
        <v>-1.6980869352587375E-2</v>
      </c>
      <c r="S64" s="22">
        <f t="shared" ref="S64:S79" si="9">R64+S63</f>
        <v>-5.0942391796849271E-2</v>
      </c>
      <c r="T64" s="22">
        <f t="shared" si="8"/>
        <v>1279.3836080728418</v>
      </c>
    </row>
    <row r="65" spans="2:20" x14ac:dyDescent="0.25">
      <c r="B65" s="22">
        <f t="shared" si="4"/>
        <v>4</v>
      </c>
      <c r="C65" s="22">
        <f t="shared" si="5"/>
        <v>90.45</v>
      </c>
      <c r="D65" s="22">
        <v>248</v>
      </c>
      <c r="E65" s="22">
        <v>0</v>
      </c>
      <c r="F65" s="22">
        <v>0</v>
      </c>
      <c r="G65" s="22">
        <v>0</v>
      </c>
      <c r="H65" s="22">
        <v>0.364873</v>
      </c>
      <c r="I65" s="22">
        <f t="shared" si="1"/>
        <v>0.364873</v>
      </c>
      <c r="J65" s="90">
        <f t="shared" si="2"/>
        <v>0.364867</v>
      </c>
      <c r="K65" s="110">
        <f t="shared" si="6"/>
        <v>6.0000000000060005E-6</v>
      </c>
      <c r="L65" s="22">
        <v>0</v>
      </c>
      <c r="M65" s="22"/>
      <c r="N65" s="22">
        <v>0</v>
      </c>
      <c r="O65" s="22">
        <v>58.889499999999998</v>
      </c>
      <c r="P65" s="22">
        <f t="shared" si="0"/>
        <v>58.889499999999998</v>
      </c>
      <c r="Q65" s="22">
        <f t="shared" si="7"/>
        <v>58.889600000000002</v>
      </c>
      <c r="R65" s="22">
        <f t="shared" si="3"/>
        <v>-1.6980927022768027E-2</v>
      </c>
      <c r="S65" s="22">
        <f t="shared" si="9"/>
        <v>-6.7923318819617301E-2</v>
      </c>
      <c r="T65" s="22">
        <f t="shared" ref="T65:T79" si="10">P65*SQRT((-2*32.17*144*S65))</f>
        <v>1477.3013349225719</v>
      </c>
    </row>
    <row r="66" spans="2:20" x14ac:dyDescent="0.25">
      <c r="B66" s="22">
        <f t="shared" si="4"/>
        <v>5</v>
      </c>
      <c r="C66" s="22">
        <f t="shared" si="5"/>
        <v>89.45</v>
      </c>
      <c r="D66" s="22">
        <v>248</v>
      </c>
      <c r="E66" s="22">
        <v>0</v>
      </c>
      <c r="F66" s="22">
        <v>0</v>
      </c>
      <c r="G66" s="22">
        <v>0</v>
      </c>
      <c r="H66" s="22">
        <v>0.364875</v>
      </c>
      <c r="I66" s="22">
        <f t="shared" si="1"/>
        <v>0.364875</v>
      </c>
      <c r="J66" s="90">
        <f t="shared" si="2"/>
        <v>0.364867</v>
      </c>
      <c r="K66" s="110">
        <f t="shared" si="6"/>
        <v>8.0000000000080007E-6</v>
      </c>
      <c r="L66" s="22">
        <v>0</v>
      </c>
      <c r="M66" s="22"/>
      <c r="N66" s="22">
        <v>0</v>
      </c>
      <c r="O66" s="22">
        <v>58.889299999999999</v>
      </c>
      <c r="P66" s="22">
        <f t="shared" si="0"/>
        <v>58.889299999999999</v>
      </c>
      <c r="Q66" s="22">
        <f t="shared" si="7"/>
        <v>58.889399999999995</v>
      </c>
      <c r="R66" s="22">
        <f t="shared" si="3"/>
        <v>-1.69809846933404E-2</v>
      </c>
      <c r="S66" s="22">
        <f t="shared" si="9"/>
        <v>-8.4904303512957705E-2</v>
      </c>
      <c r="T66" s="22">
        <f t="shared" si="10"/>
        <v>1651.6690021904774</v>
      </c>
    </row>
    <row r="67" spans="2:20" x14ac:dyDescent="0.25">
      <c r="B67" s="22">
        <f t="shared" si="4"/>
        <v>6</v>
      </c>
      <c r="C67" s="22">
        <f t="shared" si="5"/>
        <v>88.45</v>
      </c>
      <c r="D67" s="22">
        <v>248</v>
      </c>
      <c r="E67" s="22">
        <v>0</v>
      </c>
      <c r="F67" s="22">
        <v>0</v>
      </c>
      <c r="G67" s="22">
        <v>0</v>
      </c>
      <c r="H67" s="22">
        <v>0.36487599999999998</v>
      </c>
      <c r="I67" s="22">
        <f t="shared" si="1"/>
        <v>0.36487599999999998</v>
      </c>
      <c r="J67" s="90">
        <f t="shared" si="2"/>
        <v>0.364867</v>
      </c>
      <c r="K67" s="110">
        <f t="shared" si="6"/>
        <v>8.9999999999812452E-6</v>
      </c>
      <c r="L67" s="22">
        <v>0</v>
      </c>
      <c r="M67" s="22"/>
      <c r="N67" s="22">
        <v>0</v>
      </c>
      <c r="O67" s="22">
        <v>58.889099999999999</v>
      </c>
      <c r="P67" s="22">
        <f t="shared" si="0"/>
        <v>58.889099999999999</v>
      </c>
      <c r="Q67" s="22">
        <f t="shared" si="7"/>
        <v>58.889200000000002</v>
      </c>
      <c r="R67" s="22">
        <f t="shared" si="3"/>
        <v>-1.6981042364304491E-2</v>
      </c>
      <c r="S67" s="22">
        <f t="shared" si="9"/>
        <v>-0.1018853458772622</v>
      </c>
      <c r="T67" s="22">
        <f t="shared" si="10"/>
        <v>1809.3082082709657</v>
      </c>
    </row>
    <row r="68" spans="2:20" x14ac:dyDescent="0.25">
      <c r="B68" s="22">
        <f t="shared" si="4"/>
        <v>7</v>
      </c>
      <c r="C68" s="22">
        <f t="shared" si="5"/>
        <v>87.45</v>
      </c>
      <c r="D68" s="22">
        <v>248</v>
      </c>
      <c r="E68" s="22">
        <v>0</v>
      </c>
      <c r="F68" s="22">
        <v>0</v>
      </c>
      <c r="G68" s="22">
        <v>0</v>
      </c>
      <c r="H68" s="22">
        <v>0.36487799999999998</v>
      </c>
      <c r="I68" s="22">
        <f t="shared" si="1"/>
        <v>0.36487799999999998</v>
      </c>
      <c r="J68" s="90">
        <f t="shared" si="2"/>
        <v>0.364867</v>
      </c>
      <c r="K68" s="110">
        <f t="shared" si="6"/>
        <v>1.0999999999983245E-5</v>
      </c>
      <c r="L68" s="22">
        <v>0</v>
      </c>
      <c r="M68" s="22"/>
      <c r="N68" s="22">
        <v>0</v>
      </c>
      <c r="O68" s="22">
        <v>58.8889</v>
      </c>
      <c r="P68" s="22">
        <f t="shared" si="0"/>
        <v>58.8889</v>
      </c>
      <c r="Q68" s="22">
        <f t="shared" si="7"/>
        <v>58.888999999999996</v>
      </c>
      <c r="R68" s="22">
        <f t="shared" si="3"/>
        <v>-1.698110003566031E-2</v>
      </c>
      <c r="S68" s="22">
        <f t="shared" si="9"/>
        <v>-0.1188664459129225</v>
      </c>
      <c r="T68" s="22">
        <f t="shared" si="10"/>
        <v>1954.271304946172</v>
      </c>
    </row>
    <row r="69" spans="2:20" x14ac:dyDescent="0.25">
      <c r="B69" s="22">
        <f t="shared" si="4"/>
        <v>8</v>
      </c>
      <c r="C69" s="22">
        <f t="shared" si="5"/>
        <v>86.45</v>
      </c>
      <c r="D69" s="22">
        <v>248</v>
      </c>
      <c r="E69" s="22">
        <v>0</v>
      </c>
      <c r="F69" s="22">
        <v>0</v>
      </c>
      <c r="G69" s="22">
        <v>0</v>
      </c>
      <c r="H69" s="22">
        <v>0.36487900000000001</v>
      </c>
      <c r="I69" s="22">
        <f t="shared" si="1"/>
        <v>0.36487900000000001</v>
      </c>
      <c r="J69" s="90">
        <f t="shared" si="2"/>
        <v>0.364867</v>
      </c>
      <c r="K69" s="110">
        <f t="shared" si="6"/>
        <v>1.2000000000012001E-5</v>
      </c>
      <c r="L69" s="22">
        <v>0</v>
      </c>
      <c r="M69" s="22"/>
      <c r="N69" s="22">
        <v>0</v>
      </c>
      <c r="O69" s="22">
        <v>58.888599999999997</v>
      </c>
      <c r="P69" s="22">
        <f t="shared" si="0"/>
        <v>58.888599999999997</v>
      </c>
      <c r="Q69" s="22">
        <f t="shared" si="7"/>
        <v>58.888750000000002</v>
      </c>
      <c r="R69" s="22">
        <f t="shared" si="3"/>
        <v>-1.6981172125405956E-2</v>
      </c>
      <c r="S69" s="22">
        <f t="shared" si="9"/>
        <v>-0.13584761803832845</v>
      </c>
      <c r="T69" s="22">
        <f t="shared" si="10"/>
        <v>2089.1951930816253</v>
      </c>
    </row>
    <row r="70" spans="2:20" x14ac:dyDescent="0.25">
      <c r="B70" s="22">
        <f t="shared" si="4"/>
        <v>9</v>
      </c>
      <c r="C70" s="22">
        <f t="shared" si="5"/>
        <v>85.45</v>
      </c>
      <c r="D70" s="22">
        <v>248</v>
      </c>
      <c r="E70" s="22">
        <v>0</v>
      </c>
      <c r="F70" s="22">
        <v>0</v>
      </c>
      <c r="G70" s="22">
        <v>0</v>
      </c>
      <c r="H70" s="22">
        <v>0.36488100000000001</v>
      </c>
      <c r="I70" s="22">
        <f t="shared" si="1"/>
        <v>0.36488100000000001</v>
      </c>
      <c r="J70" s="90">
        <f t="shared" si="2"/>
        <v>0.364867</v>
      </c>
      <c r="K70" s="110">
        <f t="shared" si="6"/>
        <v>1.4000000000014001E-5</v>
      </c>
      <c r="L70" s="22">
        <v>0</v>
      </c>
      <c r="M70" s="22"/>
      <c r="N70" s="22">
        <v>0</v>
      </c>
      <c r="O70" s="22">
        <v>58.888399999999997</v>
      </c>
      <c r="P70" s="22">
        <f t="shared" si="0"/>
        <v>58.888399999999997</v>
      </c>
      <c r="Q70" s="22">
        <f t="shared" si="7"/>
        <v>58.888499999999993</v>
      </c>
      <c r="R70" s="22">
        <f t="shared" si="3"/>
        <v>-1.6981244215763691E-2</v>
      </c>
      <c r="S70" s="22">
        <f t="shared" si="9"/>
        <v>-0.15282886225409215</v>
      </c>
      <c r="T70" s="22">
        <f t="shared" si="10"/>
        <v>2215.9207231764144</v>
      </c>
    </row>
    <row r="71" spans="2:20" x14ac:dyDescent="0.25">
      <c r="B71" s="22">
        <f t="shared" si="4"/>
        <v>10</v>
      </c>
      <c r="C71" s="22">
        <f t="shared" si="5"/>
        <v>84.45</v>
      </c>
      <c r="D71" s="22">
        <v>248</v>
      </c>
      <c r="E71" s="22">
        <v>0</v>
      </c>
      <c r="F71" s="22">
        <v>0</v>
      </c>
      <c r="G71" s="22">
        <v>0</v>
      </c>
      <c r="H71" s="22">
        <v>0.36488199999999998</v>
      </c>
      <c r="I71" s="22">
        <f t="shared" si="1"/>
        <v>0.36488199999999998</v>
      </c>
      <c r="J71" s="90">
        <f t="shared" si="2"/>
        <v>0.364867</v>
      </c>
      <c r="K71" s="110">
        <f t="shared" si="6"/>
        <v>1.4999999999987246E-5</v>
      </c>
      <c r="L71" s="22">
        <v>0</v>
      </c>
      <c r="M71" s="22"/>
      <c r="N71" s="22">
        <v>0</v>
      </c>
      <c r="O71" s="22">
        <v>58.888199999999998</v>
      </c>
      <c r="P71" s="22">
        <f t="shared" si="0"/>
        <v>58.888199999999998</v>
      </c>
      <c r="Q71" s="22">
        <f t="shared" si="7"/>
        <v>58.888300000000001</v>
      </c>
      <c r="R71" s="22">
        <f t="shared" si="3"/>
        <v>-1.6981301888490584E-2</v>
      </c>
      <c r="S71" s="22">
        <f t="shared" si="9"/>
        <v>-0.16981016414258274</v>
      </c>
      <c r="T71" s="22">
        <f t="shared" si="10"/>
        <v>2335.7797818174713</v>
      </c>
    </row>
    <row r="72" spans="2:20" x14ac:dyDescent="0.25">
      <c r="B72" s="22">
        <f t="shared" si="4"/>
        <v>11</v>
      </c>
      <c r="C72" s="22">
        <f t="shared" si="5"/>
        <v>83.45</v>
      </c>
      <c r="D72" s="22">
        <v>248</v>
      </c>
      <c r="E72" s="22">
        <v>0</v>
      </c>
      <c r="F72" s="22">
        <v>0</v>
      </c>
      <c r="G72" s="22">
        <v>0</v>
      </c>
      <c r="H72" s="22">
        <v>0.36488399999999999</v>
      </c>
      <c r="I72" s="22">
        <f t="shared" si="1"/>
        <v>0.36488399999999999</v>
      </c>
      <c r="J72" s="90">
        <f t="shared" si="2"/>
        <v>0.364867</v>
      </c>
      <c r="K72" s="110">
        <f t="shared" si="6"/>
        <v>1.6999999999989246E-5</v>
      </c>
      <c r="L72" s="22">
        <v>0</v>
      </c>
      <c r="M72" s="22"/>
      <c r="N72" s="22">
        <v>0</v>
      </c>
      <c r="O72" s="22">
        <v>58.887999999999998</v>
      </c>
      <c r="P72" s="22">
        <f t="shared" si="0"/>
        <v>58.887999999999998</v>
      </c>
      <c r="Q72" s="22">
        <f t="shared" si="7"/>
        <v>58.888099999999994</v>
      </c>
      <c r="R72" s="22">
        <f t="shared" si="3"/>
        <v>-1.6981359561609222E-2</v>
      </c>
      <c r="S72" s="22">
        <f t="shared" si="9"/>
        <v>-0.18679152370419197</v>
      </c>
      <c r="T72" s="22">
        <f t="shared" si="10"/>
        <v>2449.7804326187534</v>
      </c>
    </row>
    <row r="73" spans="2:20" x14ac:dyDescent="0.25">
      <c r="B73" s="22">
        <f t="shared" si="4"/>
        <v>12</v>
      </c>
      <c r="C73" s="22">
        <f t="shared" si="5"/>
        <v>82.45</v>
      </c>
      <c r="D73" s="22">
        <v>248</v>
      </c>
      <c r="E73" s="22">
        <v>0</v>
      </c>
      <c r="F73" s="22">
        <v>0</v>
      </c>
      <c r="G73" s="22">
        <v>0</v>
      </c>
      <c r="H73" s="22">
        <v>0.36488500000000001</v>
      </c>
      <c r="I73" s="22">
        <f t="shared" si="1"/>
        <v>0.36488500000000001</v>
      </c>
      <c r="J73" s="90">
        <f t="shared" si="2"/>
        <v>0.364867</v>
      </c>
      <c r="K73" s="110">
        <f t="shared" si="6"/>
        <v>1.8000000000018002E-5</v>
      </c>
      <c r="L73" s="22">
        <v>0</v>
      </c>
      <c r="M73" s="22"/>
      <c r="N73" s="22">
        <v>0</v>
      </c>
      <c r="O73" s="22">
        <v>58.887799999999999</v>
      </c>
      <c r="P73" s="22">
        <f t="shared" si="0"/>
        <v>58.887799999999999</v>
      </c>
      <c r="Q73" s="22">
        <f t="shared" si="7"/>
        <v>58.887900000000002</v>
      </c>
      <c r="R73" s="22">
        <f t="shared" si="3"/>
        <v>-1.6981417235119606E-2</v>
      </c>
      <c r="S73" s="22">
        <f t="shared" si="9"/>
        <v>-0.20377294093931159</v>
      </c>
      <c r="T73" s="22">
        <f t="shared" si="10"/>
        <v>2558.7058424325819</v>
      </c>
    </row>
    <row r="74" spans="2:20" x14ac:dyDescent="0.25">
      <c r="B74" s="22">
        <f t="shared" si="4"/>
        <v>13</v>
      </c>
      <c r="C74" s="22">
        <f t="shared" si="5"/>
        <v>81.45</v>
      </c>
      <c r="D74" s="22">
        <v>248</v>
      </c>
      <c r="E74" s="22">
        <v>0</v>
      </c>
      <c r="F74" s="22">
        <v>0</v>
      </c>
      <c r="G74" s="22">
        <v>0</v>
      </c>
      <c r="H74" s="22">
        <v>0.36488700000000002</v>
      </c>
      <c r="I74" s="22">
        <f t="shared" si="1"/>
        <v>0.36488700000000002</v>
      </c>
      <c r="J74" s="90">
        <f t="shared" si="2"/>
        <v>0.364867</v>
      </c>
      <c r="K74" s="110">
        <f t="shared" si="6"/>
        <v>2.0000000000020002E-5</v>
      </c>
      <c r="L74" s="22">
        <v>0</v>
      </c>
      <c r="M74" s="22"/>
      <c r="N74" s="22">
        <v>0</v>
      </c>
      <c r="O74" s="22">
        <v>58.887599999999999</v>
      </c>
      <c r="P74" s="22">
        <f t="shared" si="0"/>
        <v>58.887599999999999</v>
      </c>
      <c r="Q74" s="22">
        <f t="shared" si="7"/>
        <v>58.887699999999995</v>
      </c>
      <c r="R74" s="22">
        <f t="shared" si="3"/>
        <v>-1.698147490902175E-2</v>
      </c>
      <c r="S74" s="22">
        <f t="shared" si="9"/>
        <v>-0.22075441584833333</v>
      </c>
      <c r="T74" s="22">
        <f t="shared" si="10"/>
        <v>2663.1788241367808</v>
      </c>
    </row>
    <row r="75" spans="2:20" x14ac:dyDescent="0.25">
      <c r="B75" s="22">
        <f t="shared" si="4"/>
        <v>14</v>
      </c>
      <c r="C75" s="22">
        <f t="shared" si="5"/>
        <v>80.45</v>
      </c>
      <c r="D75" s="22">
        <v>248</v>
      </c>
      <c r="E75" s="22">
        <v>0</v>
      </c>
      <c r="F75" s="22">
        <v>0</v>
      </c>
      <c r="G75" s="22">
        <v>0</v>
      </c>
      <c r="H75" s="22">
        <v>0.36488799999999999</v>
      </c>
      <c r="I75" s="22">
        <f t="shared" si="1"/>
        <v>0.36488799999999999</v>
      </c>
      <c r="J75" s="90">
        <f t="shared" si="2"/>
        <v>0.364867</v>
      </c>
      <c r="K75" s="110">
        <f t="shared" si="6"/>
        <v>2.0999999999993246E-5</v>
      </c>
      <c r="L75" s="22">
        <v>0</v>
      </c>
      <c r="M75" s="89">
        <v>216.488</v>
      </c>
      <c r="N75" s="22">
        <v>0</v>
      </c>
      <c r="O75" s="22">
        <v>58.8874</v>
      </c>
      <c r="P75" s="22">
        <f t="shared" si="0"/>
        <v>58.8874</v>
      </c>
      <c r="Q75" s="22">
        <f t="shared" si="7"/>
        <v>58.887500000000003</v>
      </c>
      <c r="R75" s="22">
        <f t="shared" si="3"/>
        <v>-1.6981532583315643E-2</v>
      </c>
      <c r="S75" s="22">
        <f t="shared" si="9"/>
        <v>-0.23773594843164897</v>
      </c>
      <c r="T75" s="22">
        <f t="shared" si="10"/>
        <v>2763.7043531734953</v>
      </c>
    </row>
    <row r="76" spans="2:20" x14ac:dyDescent="0.25">
      <c r="B76" s="22">
        <f t="shared" si="4"/>
        <v>15</v>
      </c>
      <c r="C76" s="22">
        <f t="shared" si="5"/>
        <v>79.45</v>
      </c>
      <c r="D76" s="22">
        <v>248</v>
      </c>
      <c r="E76" s="22">
        <v>0</v>
      </c>
      <c r="F76" s="22">
        <v>0</v>
      </c>
      <c r="G76" s="22">
        <v>0</v>
      </c>
      <c r="H76" s="22">
        <v>0.36488999999999999</v>
      </c>
      <c r="I76" s="22">
        <f t="shared" si="1"/>
        <v>0.36488999999999999</v>
      </c>
      <c r="J76" s="90">
        <f t="shared" si="2"/>
        <v>0.364867</v>
      </c>
      <c r="K76" s="110">
        <f t="shared" si="6"/>
        <v>2.2999999999995246E-5</v>
      </c>
      <c r="L76" s="22">
        <v>0</v>
      </c>
      <c r="M76" s="89">
        <v>216.48599999999999</v>
      </c>
      <c r="N76" s="22">
        <v>0</v>
      </c>
      <c r="O76" s="22">
        <v>58.887099999999997</v>
      </c>
      <c r="P76" s="22">
        <f t="shared" si="0"/>
        <v>58.887099999999997</v>
      </c>
      <c r="Q76" s="22">
        <f t="shared" si="7"/>
        <v>58.887249999999995</v>
      </c>
      <c r="R76" s="22">
        <f t="shared" si="3"/>
        <v>-1.698160467673393E-2</v>
      </c>
      <c r="S76" s="22">
        <f t="shared" si="9"/>
        <v>-0.2547175531083829</v>
      </c>
      <c r="T76" s="22">
        <f t="shared" si="10"/>
        <v>2860.6938257169422</v>
      </c>
    </row>
    <row r="77" spans="2:20" x14ac:dyDescent="0.25">
      <c r="B77" s="22">
        <f t="shared" si="4"/>
        <v>16</v>
      </c>
      <c r="C77" s="22">
        <f t="shared" si="5"/>
        <v>78.45</v>
      </c>
      <c r="D77" s="22">
        <v>248</v>
      </c>
      <c r="E77" s="22">
        <v>0</v>
      </c>
      <c r="F77" s="22">
        <v>0</v>
      </c>
      <c r="G77" s="22">
        <v>0</v>
      </c>
      <c r="H77" s="22">
        <v>0.36489100000000002</v>
      </c>
      <c r="I77" s="22">
        <f t="shared" si="1"/>
        <v>0.36489100000000002</v>
      </c>
      <c r="J77" s="90">
        <f t="shared" si="2"/>
        <v>0.364867</v>
      </c>
      <c r="K77" s="110">
        <f t="shared" si="6"/>
        <v>2.4000000000024002E-5</v>
      </c>
      <c r="L77" s="22">
        <v>0</v>
      </c>
      <c r="M77" s="89">
        <v>216.48400000000001</v>
      </c>
      <c r="N77" s="22">
        <v>0</v>
      </c>
      <c r="O77" s="22">
        <v>58.886899999999997</v>
      </c>
      <c r="P77" s="22">
        <f t="shared" si="0"/>
        <v>58.886899999999997</v>
      </c>
      <c r="Q77" s="22">
        <f t="shared" si="7"/>
        <v>58.887</v>
      </c>
      <c r="R77" s="22">
        <f t="shared" si="3"/>
        <v>-1.6981676770764346E-2</v>
      </c>
      <c r="S77" s="22">
        <f t="shared" si="9"/>
        <v>-0.27169922987914724</v>
      </c>
      <c r="T77" s="22">
        <f t="shared" si="10"/>
        <v>2954.5045985618053</v>
      </c>
    </row>
    <row r="78" spans="2:20" x14ac:dyDescent="0.25">
      <c r="B78" s="22">
        <f t="shared" si="4"/>
        <v>17</v>
      </c>
      <c r="C78" s="22">
        <f t="shared" si="5"/>
        <v>77.45</v>
      </c>
      <c r="D78" s="22">
        <v>248</v>
      </c>
      <c r="E78" s="22">
        <v>0</v>
      </c>
      <c r="F78" s="22">
        <v>0</v>
      </c>
      <c r="G78" s="22">
        <v>0</v>
      </c>
      <c r="H78" s="22">
        <v>0.36489300000000002</v>
      </c>
      <c r="I78" s="22">
        <f t="shared" si="1"/>
        <v>0.36489300000000002</v>
      </c>
      <c r="J78" s="90">
        <f t="shared" si="2"/>
        <v>0.364867</v>
      </c>
      <c r="K78" s="110">
        <f t="shared" si="6"/>
        <v>2.6000000000026002E-5</v>
      </c>
      <c r="L78" s="22">
        <v>0</v>
      </c>
      <c r="M78" s="89">
        <v>216.48099999999999</v>
      </c>
      <c r="N78" s="22">
        <v>0</v>
      </c>
      <c r="O78" s="22">
        <v>58.886699999999998</v>
      </c>
      <c r="P78" s="22">
        <f t="shared" si="0"/>
        <v>58.886699999999998</v>
      </c>
      <c r="Q78" s="22">
        <f t="shared" si="7"/>
        <v>58.886799999999994</v>
      </c>
      <c r="R78" s="22">
        <f t="shared" si="3"/>
        <v>-1.6981734446429423E-2</v>
      </c>
      <c r="S78" s="22">
        <f t="shared" si="9"/>
        <v>-0.28868096432557666</v>
      </c>
      <c r="T78" s="22">
        <f t="shared" si="10"/>
        <v>3045.4260986889917</v>
      </c>
    </row>
    <row r="79" spans="2:20" x14ac:dyDescent="0.25">
      <c r="B79" s="22">
        <f t="shared" si="4"/>
        <v>18</v>
      </c>
      <c r="C79" s="22">
        <f t="shared" si="5"/>
        <v>76.45</v>
      </c>
      <c r="D79" s="22">
        <v>248</v>
      </c>
      <c r="E79" s="22">
        <v>0</v>
      </c>
      <c r="F79" s="22">
        <v>0</v>
      </c>
      <c r="G79" s="22">
        <v>0</v>
      </c>
      <c r="H79" s="22">
        <v>0.364894</v>
      </c>
      <c r="I79" s="22">
        <f t="shared" si="1"/>
        <v>0.364894</v>
      </c>
      <c r="J79" s="90">
        <f t="shared" si="2"/>
        <v>0.364867</v>
      </c>
      <c r="K79" s="110">
        <f t="shared" si="6"/>
        <v>2.6999999999999247E-5</v>
      </c>
      <c r="L79" s="22">
        <v>0</v>
      </c>
      <c r="M79" s="89">
        <v>216.47900000000001</v>
      </c>
      <c r="N79" s="22">
        <v>0</v>
      </c>
      <c r="O79" s="22">
        <v>58.886499999999998</v>
      </c>
      <c r="P79" s="22">
        <f t="shared" si="0"/>
        <v>58.886499999999998</v>
      </c>
      <c r="Q79" s="22">
        <f t="shared" si="7"/>
        <v>58.886600000000001</v>
      </c>
      <c r="R79" s="22">
        <f t="shared" si="3"/>
        <v>-1.698179212248627E-2</v>
      </c>
      <c r="S79" s="22">
        <f t="shared" si="9"/>
        <v>-0.30566275644806296</v>
      </c>
      <c r="T79" s="22">
        <f t="shared" si="10"/>
        <v>3133.7098243882156</v>
      </c>
    </row>
    <row r="80" spans="2:20" x14ac:dyDescent="0.25">
      <c r="B80" s="22">
        <f t="shared" si="4"/>
        <v>19</v>
      </c>
      <c r="C80" s="22">
        <f t="shared" si="5"/>
        <v>75.45</v>
      </c>
      <c r="D80" s="22">
        <v>248</v>
      </c>
      <c r="E80" s="22">
        <v>0</v>
      </c>
      <c r="F80" s="22">
        <v>0</v>
      </c>
      <c r="G80" s="22">
        <v>0</v>
      </c>
      <c r="H80" s="22">
        <v>0.364896</v>
      </c>
      <c r="I80" s="22">
        <f t="shared" si="1"/>
        <v>0.364896</v>
      </c>
      <c r="J80" s="90">
        <f t="shared" si="2"/>
        <v>0.364867</v>
      </c>
      <c r="K80" s="110">
        <f t="shared" si="6"/>
        <v>2.9000000000001247E-5</v>
      </c>
      <c r="L80" s="22">
        <v>0</v>
      </c>
      <c r="M80" s="89">
        <v>216.477</v>
      </c>
      <c r="N80" s="22">
        <v>0</v>
      </c>
      <c r="O80" s="22">
        <v>58.886299999999999</v>
      </c>
      <c r="P80" s="22">
        <f t="shared" si="0"/>
        <v>58.886299999999999</v>
      </c>
      <c r="Q80" s="22">
        <f t="shared" si="7"/>
        <v>58.886399999999995</v>
      </c>
      <c r="R80" s="22">
        <f t="shared" si="3"/>
        <v>-1.6981849798934901E-2</v>
      </c>
      <c r="S80" s="22">
        <f t="shared" ref="S80:S87" si="11">R80+S79</f>
        <v>-0.32264460624699787</v>
      </c>
      <c r="T80" s="22">
        <f t="shared" ref="T80:T87" si="12">P80*SQRT((-2*32.17*144*S80))</f>
        <v>3219.5727737712264</v>
      </c>
    </row>
    <row r="81" spans="1:20" x14ac:dyDescent="0.25">
      <c r="B81" s="22">
        <f t="shared" si="4"/>
        <v>20</v>
      </c>
      <c r="C81" s="22">
        <f t="shared" si="5"/>
        <v>74.45</v>
      </c>
      <c r="D81" s="22">
        <v>248</v>
      </c>
      <c r="E81" s="22">
        <v>0</v>
      </c>
      <c r="F81" s="22">
        <v>0</v>
      </c>
      <c r="G81" s="22">
        <v>0</v>
      </c>
      <c r="H81" s="22">
        <v>0.36489700000000003</v>
      </c>
      <c r="I81" s="22">
        <f t="shared" si="1"/>
        <v>0.36489700000000003</v>
      </c>
      <c r="J81" s="90">
        <f t="shared" si="2"/>
        <v>0.364867</v>
      </c>
      <c r="K81" s="110">
        <f t="shared" si="6"/>
        <v>3.0000000000030003E-5</v>
      </c>
      <c r="L81" s="22">
        <v>0</v>
      </c>
      <c r="M81" s="89">
        <v>216.47499999999999</v>
      </c>
      <c r="N81" s="22">
        <v>0</v>
      </c>
      <c r="O81" s="22">
        <v>58.886099999999999</v>
      </c>
      <c r="P81" s="22">
        <f t="shared" si="0"/>
        <v>58.886099999999999</v>
      </c>
      <c r="Q81" s="22">
        <f t="shared" si="7"/>
        <v>58.886200000000002</v>
      </c>
      <c r="R81" s="22">
        <f t="shared" si="3"/>
        <v>-1.6981907475775309E-2</v>
      </c>
      <c r="S81" s="22">
        <f t="shared" si="11"/>
        <v>-0.33962651372277319</v>
      </c>
      <c r="T81" s="22">
        <f t="shared" si="12"/>
        <v>3303.2037280515738</v>
      </c>
    </row>
    <row r="82" spans="1:20" x14ac:dyDescent="0.25">
      <c r="B82" s="22">
        <f t="shared" si="4"/>
        <v>21</v>
      </c>
      <c r="C82" s="22">
        <f t="shared" si="5"/>
        <v>73.45</v>
      </c>
      <c r="D82" s="22">
        <v>248</v>
      </c>
      <c r="E82" s="22">
        <v>0</v>
      </c>
      <c r="F82" s="22">
        <v>0</v>
      </c>
      <c r="G82" s="22">
        <v>0</v>
      </c>
      <c r="H82" s="22">
        <v>0.36489899999999997</v>
      </c>
      <c r="I82" s="22">
        <f t="shared" si="1"/>
        <v>0.36489899999999997</v>
      </c>
      <c r="J82" s="90">
        <f t="shared" si="2"/>
        <v>0.364867</v>
      </c>
      <c r="K82" s="110">
        <f t="shared" si="6"/>
        <v>3.1999999999976492E-5</v>
      </c>
      <c r="L82" s="22">
        <v>0</v>
      </c>
      <c r="M82" s="89">
        <v>216.47300000000001</v>
      </c>
      <c r="N82" s="22">
        <v>0</v>
      </c>
      <c r="O82" s="22">
        <v>58.885800000000003</v>
      </c>
      <c r="P82" s="22">
        <f t="shared" si="0"/>
        <v>58.885800000000003</v>
      </c>
      <c r="Q82" s="22">
        <f t="shared" si="7"/>
        <v>58.885950000000001</v>
      </c>
      <c r="R82" s="22">
        <f t="shared" si="3"/>
        <v>-1.6981979572376772E-2</v>
      </c>
      <c r="S82" s="22">
        <f t="shared" si="11"/>
        <v>-0.35660849329514999</v>
      </c>
      <c r="T82" s="22">
        <f t="shared" si="12"/>
        <v>3384.762456303587</v>
      </c>
    </row>
    <row r="83" spans="1:20" x14ac:dyDescent="0.25">
      <c r="B83" s="22">
        <f t="shared" si="4"/>
        <v>22</v>
      </c>
      <c r="C83" s="22">
        <f t="shared" si="5"/>
        <v>72.45</v>
      </c>
      <c r="D83" s="22">
        <v>248</v>
      </c>
      <c r="E83" s="22">
        <v>0</v>
      </c>
      <c r="F83" s="22">
        <v>0</v>
      </c>
      <c r="G83" s="22">
        <v>0</v>
      </c>
      <c r="H83" s="22">
        <v>0.3649</v>
      </c>
      <c r="I83" s="22">
        <f t="shared" si="1"/>
        <v>0.3649</v>
      </c>
      <c r="J83" s="90">
        <f t="shared" si="2"/>
        <v>0.364867</v>
      </c>
      <c r="K83" s="110">
        <f t="shared" si="6"/>
        <v>3.3000000000005247E-5</v>
      </c>
      <c r="L83" s="22">
        <v>0</v>
      </c>
      <c r="M83" s="22">
        <v>216.471</v>
      </c>
      <c r="N83" s="22">
        <v>0</v>
      </c>
      <c r="O83" s="22">
        <v>58.885599999999997</v>
      </c>
      <c r="P83" s="22">
        <f t="shared" si="0"/>
        <v>58.885599999999997</v>
      </c>
      <c r="Q83" s="22">
        <f t="shared" si="7"/>
        <v>58.8857</v>
      </c>
      <c r="R83" s="22">
        <f t="shared" si="3"/>
        <v>-1.6982051669590409E-2</v>
      </c>
      <c r="S83" s="22">
        <f t="shared" si="11"/>
        <v>-0.37359054496474042</v>
      </c>
      <c r="T83" s="22">
        <f t="shared" si="12"/>
        <v>3464.4062788888109</v>
      </c>
    </row>
    <row r="84" spans="1:20" x14ac:dyDescent="0.25">
      <c r="B84" s="22">
        <f t="shared" si="4"/>
        <v>23</v>
      </c>
      <c r="C84" s="22">
        <f t="shared" si="5"/>
        <v>71.45</v>
      </c>
      <c r="D84" s="22">
        <v>248</v>
      </c>
      <c r="E84" s="22">
        <v>0</v>
      </c>
      <c r="F84" s="22">
        <v>0</v>
      </c>
      <c r="G84" s="22">
        <v>0</v>
      </c>
      <c r="H84" s="22">
        <v>0.364902</v>
      </c>
      <c r="I84" s="22">
        <f t="shared" si="1"/>
        <v>0.364902</v>
      </c>
      <c r="J84" s="90">
        <f t="shared" si="2"/>
        <v>0.364867</v>
      </c>
      <c r="K84" s="110">
        <f t="shared" si="6"/>
        <v>3.5000000000007248E-5</v>
      </c>
      <c r="L84" s="22">
        <v>0</v>
      </c>
      <c r="M84" s="22">
        <v>216.46899999999999</v>
      </c>
      <c r="N84" s="22">
        <v>0</v>
      </c>
      <c r="O84" s="22">
        <v>58.885399999999997</v>
      </c>
      <c r="P84" s="22">
        <f t="shared" si="0"/>
        <v>58.885399999999997</v>
      </c>
      <c r="Q84" s="22">
        <f t="shared" si="7"/>
        <v>58.885499999999993</v>
      </c>
      <c r="R84" s="22">
        <f t="shared" si="3"/>
        <v>-1.6982109347802091E-2</v>
      </c>
      <c r="S84" s="22">
        <f t="shared" si="11"/>
        <v>-0.39057265431254251</v>
      </c>
      <c r="T84" s="22">
        <f t="shared" si="12"/>
        <v>3542.2590653574521</v>
      </c>
    </row>
    <row r="85" spans="1:20" x14ac:dyDescent="0.25">
      <c r="B85" s="22">
        <f t="shared" si="4"/>
        <v>24</v>
      </c>
      <c r="C85" s="22">
        <f t="shared" si="5"/>
        <v>70.45</v>
      </c>
      <c r="D85" s="22">
        <v>248</v>
      </c>
      <c r="E85" s="22">
        <v>0</v>
      </c>
      <c r="F85" s="22">
        <v>0</v>
      </c>
      <c r="G85" s="22">
        <v>0</v>
      </c>
      <c r="H85" s="22">
        <v>0.36490299999999998</v>
      </c>
      <c r="I85" s="22">
        <f t="shared" si="1"/>
        <v>0.36490299999999998</v>
      </c>
      <c r="J85" s="90">
        <f t="shared" si="2"/>
        <v>0.364867</v>
      </c>
      <c r="K85" s="110">
        <f t="shared" si="6"/>
        <v>3.5999999999980492E-5</v>
      </c>
      <c r="L85" s="22">
        <v>0</v>
      </c>
      <c r="M85" s="22">
        <v>216.46700000000001</v>
      </c>
      <c r="N85" s="22">
        <v>0</v>
      </c>
      <c r="O85" s="22">
        <v>58.885199999999998</v>
      </c>
      <c r="P85" s="22">
        <f t="shared" si="0"/>
        <v>58.885199999999998</v>
      </c>
      <c r="Q85" s="22">
        <f t="shared" si="7"/>
        <v>58.885300000000001</v>
      </c>
      <c r="R85" s="22">
        <f t="shared" si="3"/>
        <v>-1.6982167026405572E-2</v>
      </c>
      <c r="S85" s="22">
        <f t="shared" si="11"/>
        <v>-0.4075548213389481</v>
      </c>
      <c r="T85" s="22">
        <f t="shared" si="12"/>
        <v>3618.4364231423733</v>
      </c>
    </row>
    <row r="86" spans="1:20" x14ac:dyDescent="0.25">
      <c r="B86" s="22">
        <f t="shared" si="4"/>
        <v>25</v>
      </c>
      <c r="C86" s="22">
        <f t="shared" si="5"/>
        <v>69.45</v>
      </c>
      <c r="D86" s="22">
        <v>248</v>
      </c>
      <c r="E86" s="22">
        <v>0</v>
      </c>
      <c r="F86" s="22">
        <v>0</v>
      </c>
      <c r="G86" s="22">
        <v>0</v>
      </c>
      <c r="H86" s="22">
        <v>0.36490499999999998</v>
      </c>
      <c r="I86" s="22">
        <f t="shared" si="1"/>
        <v>0.36490499999999998</v>
      </c>
      <c r="J86" s="90">
        <f t="shared" si="2"/>
        <v>0.364867</v>
      </c>
      <c r="K86" s="110">
        <f t="shared" si="6"/>
        <v>3.7999999999982492E-5</v>
      </c>
      <c r="L86" s="22">
        <v>0</v>
      </c>
      <c r="M86" s="22">
        <v>216.465</v>
      </c>
      <c r="N86" s="22">
        <v>0</v>
      </c>
      <c r="O86" s="22">
        <v>58.884999999999998</v>
      </c>
      <c r="P86" s="22">
        <f t="shared" si="0"/>
        <v>58.884999999999998</v>
      </c>
      <c r="Q86" s="22">
        <f t="shared" si="7"/>
        <v>58.885099999999994</v>
      </c>
      <c r="R86" s="22">
        <f t="shared" si="3"/>
        <v>-1.698222470540086E-2</v>
      </c>
      <c r="S86" s="22">
        <f t="shared" si="11"/>
        <v>-0.42453704604434894</v>
      </c>
      <c r="T86" s="22">
        <f t="shared" si="12"/>
        <v>3693.0420322365371</v>
      </c>
    </row>
    <row r="87" spans="1:20" x14ac:dyDescent="0.25">
      <c r="B87" s="22">
        <f t="shared" si="4"/>
        <v>26</v>
      </c>
      <c r="C87" s="22">
        <f t="shared" si="5"/>
        <v>68.45</v>
      </c>
      <c r="D87" s="22">
        <v>248</v>
      </c>
      <c r="E87" s="22">
        <v>0</v>
      </c>
      <c r="F87" s="22">
        <v>0</v>
      </c>
      <c r="G87" s="22">
        <v>0</v>
      </c>
      <c r="H87" s="22">
        <v>0.36490600000000001</v>
      </c>
      <c r="I87" s="22">
        <f t="shared" si="1"/>
        <v>0.36490600000000001</v>
      </c>
      <c r="J87" s="90">
        <f t="shared" si="2"/>
        <v>0.364867</v>
      </c>
      <c r="K87" s="110">
        <f t="shared" si="6"/>
        <v>3.9000000000011248E-5</v>
      </c>
      <c r="L87" s="22">
        <v>0</v>
      </c>
      <c r="M87" s="22">
        <v>216.46299999999999</v>
      </c>
      <c r="N87" s="22">
        <v>0</v>
      </c>
      <c r="O87" s="22">
        <v>58.884799999999998</v>
      </c>
      <c r="P87" s="22">
        <f t="shared" si="0"/>
        <v>58.884799999999998</v>
      </c>
      <c r="Q87" s="22">
        <f t="shared" si="7"/>
        <v>58.884900000000002</v>
      </c>
      <c r="R87" s="22">
        <f t="shared" si="3"/>
        <v>-1.6982282384787949E-2</v>
      </c>
      <c r="S87" s="22">
        <f t="shared" si="11"/>
        <v>-0.44151932842913688</v>
      </c>
      <c r="T87" s="22">
        <f t="shared" si="12"/>
        <v>3766.1693000643027</v>
      </c>
    </row>
    <row r="88" spans="1:20" ht="13" x14ac:dyDescent="0.3">
      <c r="A88" s="2"/>
      <c r="B88" s="22">
        <f t="shared" si="4"/>
        <v>27</v>
      </c>
      <c r="C88" s="22">
        <f t="shared" si="5"/>
        <v>67.45</v>
      </c>
      <c r="D88" s="22">
        <v>248</v>
      </c>
      <c r="E88" s="22">
        <v>0</v>
      </c>
      <c r="F88" s="22">
        <v>0</v>
      </c>
      <c r="G88" s="22">
        <v>0</v>
      </c>
      <c r="H88" s="22">
        <v>0.36490800000000001</v>
      </c>
      <c r="I88" s="22">
        <f t="shared" si="1"/>
        <v>0.36490800000000001</v>
      </c>
      <c r="J88" s="90">
        <f t="shared" si="2"/>
        <v>0.364867</v>
      </c>
      <c r="K88" s="110">
        <f t="shared" si="6"/>
        <v>4.1000000000013248E-5</v>
      </c>
      <c r="L88" s="22">
        <v>0</v>
      </c>
      <c r="M88" s="22">
        <v>216.46100000000001</v>
      </c>
      <c r="N88" s="22">
        <v>0</v>
      </c>
      <c r="O88" s="22">
        <v>58.884599999999999</v>
      </c>
      <c r="P88" s="22">
        <f t="shared" si="0"/>
        <v>58.884599999999999</v>
      </c>
      <c r="Q88" s="22">
        <f t="shared" si="7"/>
        <v>58.884699999999995</v>
      </c>
      <c r="R88" s="22">
        <f t="shared" si="3"/>
        <v>-1.6982340064566857E-2</v>
      </c>
      <c r="S88" s="22">
        <f t="shared" ref="S88:S102" si="13">R88+S87</f>
        <v>-0.45850166849370372</v>
      </c>
      <c r="T88" s="22">
        <f t="shared" ref="T88:T102" si="14">P88*SQRT((-2*32.17*144*S88))</f>
        <v>3837.9027323499431</v>
      </c>
    </row>
    <row r="89" spans="1:20" x14ac:dyDescent="0.25">
      <c r="B89" s="22">
        <f t="shared" si="4"/>
        <v>28</v>
      </c>
      <c r="C89" s="22">
        <f t="shared" si="5"/>
        <v>66.45</v>
      </c>
      <c r="D89" s="22">
        <v>248</v>
      </c>
      <c r="E89" s="22">
        <v>0</v>
      </c>
      <c r="F89" s="22">
        <v>0</v>
      </c>
      <c r="G89" s="22">
        <v>0</v>
      </c>
      <c r="H89" s="22">
        <v>0.36490899999999998</v>
      </c>
      <c r="I89" s="22">
        <f t="shared" si="1"/>
        <v>0.36490899999999998</v>
      </c>
      <c r="J89" s="90">
        <f t="shared" si="2"/>
        <v>0.364867</v>
      </c>
      <c r="K89" s="110">
        <f t="shared" si="6"/>
        <v>4.1999999999986493E-5</v>
      </c>
      <c r="L89" s="22">
        <v>0</v>
      </c>
      <c r="M89" s="22">
        <v>216.459</v>
      </c>
      <c r="N89" s="22">
        <v>0</v>
      </c>
      <c r="O89" s="22">
        <v>58.884300000000003</v>
      </c>
      <c r="P89" s="22">
        <f t="shared" si="0"/>
        <v>58.884300000000003</v>
      </c>
      <c r="Q89" s="22">
        <f t="shared" si="7"/>
        <v>58.884450000000001</v>
      </c>
      <c r="R89" s="22">
        <f t="shared" si="3"/>
        <v>-1.6982412164841483E-2</v>
      </c>
      <c r="S89" s="22">
        <f t="shared" si="13"/>
        <v>-0.47548408065854519</v>
      </c>
      <c r="T89" s="22">
        <f t="shared" si="14"/>
        <v>3908.3124993651695</v>
      </c>
    </row>
    <row r="90" spans="1:20" x14ac:dyDescent="0.25">
      <c r="B90" s="22">
        <f t="shared" si="4"/>
        <v>29</v>
      </c>
      <c r="C90" s="22">
        <f t="shared" si="5"/>
        <v>65.45</v>
      </c>
      <c r="D90" s="22">
        <v>248</v>
      </c>
      <c r="E90" s="22">
        <v>0</v>
      </c>
      <c r="F90" s="22">
        <v>0</v>
      </c>
      <c r="G90" s="22">
        <v>0</v>
      </c>
      <c r="H90" s="22">
        <v>0.36491099999999999</v>
      </c>
      <c r="I90" s="22">
        <f t="shared" si="1"/>
        <v>0.36491099999999999</v>
      </c>
      <c r="J90" s="90">
        <f t="shared" si="2"/>
        <v>0.364867</v>
      </c>
      <c r="K90" s="110">
        <f t="shared" si="6"/>
        <v>4.3999999999988493E-5</v>
      </c>
      <c r="L90" s="22">
        <v>0</v>
      </c>
      <c r="M90" s="22">
        <v>216.45599999999999</v>
      </c>
      <c r="N90" s="22">
        <v>0</v>
      </c>
      <c r="O90" s="22">
        <v>58.884099999999997</v>
      </c>
      <c r="P90" s="22">
        <f t="shared" si="0"/>
        <v>58.884099999999997</v>
      </c>
      <c r="Q90" s="22">
        <f t="shared" si="7"/>
        <v>58.8842</v>
      </c>
      <c r="R90" s="22">
        <f t="shared" si="3"/>
        <v>-1.6982484265728327E-2</v>
      </c>
      <c r="S90" s="22">
        <f t="shared" si="13"/>
        <v>-0.49246656492427354</v>
      </c>
      <c r="T90" s="22">
        <f t="shared" si="14"/>
        <v>3977.4817077321254</v>
      </c>
    </row>
    <row r="91" spans="1:20" x14ac:dyDescent="0.25">
      <c r="B91" s="22">
        <f t="shared" si="4"/>
        <v>30</v>
      </c>
      <c r="C91" s="22">
        <f t="shared" si="5"/>
        <v>64.45</v>
      </c>
      <c r="D91" s="22">
        <v>248</v>
      </c>
      <c r="E91" s="22">
        <v>0</v>
      </c>
      <c r="F91" s="22">
        <v>0</v>
      </c>
      <c r="G91" s="22">
        <v>0</v>
      </c>
      <c r="H91" s="22">
        <v>0.36491200000000001</v>
      </c>
      <c r="I91" s="22">
        <f t="shared" si="1"/>
        <v>0.36491200000000001</v>
      </c>
      <c r="J91" s="90">
        <f t="shared" si="2"/>
        <v>0.364867</v>
      </c>
      <c r="K91" s="110">
        <f t="shared" si="6"/>
        <v>4.5000000000017248E-5</v>
      </c>
      <c r="L91" s="22">
        <v>0</v>
      </c>
      <c r="M91" s="22">
        <v>216.45400000000001</v>
      </c>
      <c r="N91" s="22">
        <v>0</v>
      </c>
      <c r="O91" s="22">
        <v>58.883899999999997</v>
      </c>
      <c r="P91" s="22">
        <f t="shared" si="0"/>
        <v>58.883899999999997</v>
      </c>
      <c r="Q91" s="22">
        <f t="shared" si="7"/>
        <v>58.884</v>
      </c>
      <c r="R91" s="22">
        <f t="shared" si="3"/>
        <v>-1.6982541946878607E-2</v>
      </c>
      <c r="S91" s="22">
        <f t="shared" si="13"/>
        <v>-0.50944910687115219</v>
      </c>
      <c r="T91" s="22">
        <f t="shared" si="14"/>
        <v>4045.4677503821899</v>
      </c>
    </row>
    <row r="92" spans="1:20" x14ac:dyDescent="0.25">
      <c r="B92" s="22">
        <f t="shared" si="4"/>
        <v>31</v>
      </c>
      <c r="C92" s="22">
        <f t="shared" si="5"/>
        <v>63.45</v>
      </c>
      <c r="D92" s="22">
        <v>248</v>
      </c>
      <c r="E92" s="22">
        <v>0</v>
      </c>
      <c r="F92" s="22">
        <v>0</v>
      </c>
      <c r="G92" s="22">
        <v>0</v>
      </c>
      <c r="H92" s="22">
        <v>0.36491400000000002</v>
      </c>
      <c r="I92" s="22">
        <f t="shared" si="1"/>
        <v>0.36491400000000002</v>
      </c>
      <c r="J92" s="90">
        <f t="shared" si="2"/>
        <v>0.364867</v>
      </c>
      <c r="K92" s="110">
        <f t="shared" si="6"/>
        <v>4.7000000000019249E-5</v>
      </c>
      <c r="L92" s="22">
        <v>0</v>
      </c>
      <c r="M92" s="22">
        <v>216.452</v>
      </c>
      <c r="N92" s="22">
        <v>0</v>
      </c>
      <c r="O92" s="22">
        <v>58.883699999999997</v>
      </c>
      <c r="P92" s="22">
        <f t="shared" si="0"/>
        <v>58.883699999999997</v>
      </c>
      <c r="Q92" s="22">
        <f t="shared" si="7"/>
        <v>58.883799999999994</v>
      </c>
      <c r="R92" s="22">
        <f t="shared" si="3"/>
        <v>-1.6982599628420723E-2</v>
      </c>
      <c r="S92" s="22">
        <f t="shared" si="13"/>
        <v>-0.52643170649957294</v>
      </c>
      <c r="T92" s="22">
        <f t="shared" si="14"/>
        <v>4112.3293088981336</v>
      </c>
    </row>
    <row r="93" spans="1:20" x14ac:dyDescent="0.25">
      <c r="B93" s="22">
        <f t="shared" si="4"/>
        <v>32</v>
      </c>
      <c r="C93" s="22">
        <f t="shared" si="5"/>
        <v>62.45</v>
      </c>
      <c r="D93" s="22">
        <v>248</v>
      </c>
      <c r="E93" s="22">
        <v>0</v>
      </c>
      <c r="F93" s="22">
        <v>0</v>
      </c>
      <c r="G93" s="22">
        <v>0</v>
      </c>
      <c r="H93" s="22">
        <v>0.36491499999999999</v>
      </c>
      <c r="I93" s="22">
        <f t="shared" si="1"/>
        <v>0.36491499999999999</v>
      </c>
      <c r="J93" s="90">
        <f t="shared" si="2"/>
        <v>0.364867</v>
      </c>
      <c r="K93" s="110">
        <f t="shared" si="6"/>
        <v>4.7999999999992493E-5</v>
      </c>
      <c r="L93" s="22">
        <v>0</v>
      </c>
      <c r="M93" s="22">
        <v>216.45</v>
      </c>
      <c r="N93" s="22">
        <v>0</v>
      </c>
      <c r="O93" s="22">
        <v>58.883499999999998</v>
      </c>
      <c r="P93" s="22">
        <f t="shared" ref="P93:P124" si="15">O93</f>
        <v>58.883499999999998</v>
      </c>
      <c r="Q93" s="22">
        <f t="shared" si="7"/>
        <v>58.883600000000001</v>
      </c>
      <c r="R93" s="22">
        <f t="shared" si="3"/>
        <v>-1.6982657310354664E-2</v>
      </c>
      <c r="S93" s="22">
        <f t="shared" si="13"/>
        <v>-0.54341436380992758</v>
      </c>
      <c r="T93" s="22">
        <f t="shared" si="14"/>
        <v>4178.1203682609557</v>
      </c>
    </row>
    <row r="94" spans="1:20" x14ac:dyDescent="0.25">
      <c r="B94" s="22">
        <f t="shared" si="4"/>
        <v>33</v>
      </c>
      <c r="C94" s="22">
        <f t="shared" si="5"/>
        <v>61.45</v>
      </c>
      <c r="D94" s="22">
        <v>248</v>
      </c>
      <c r="E94" s="22">
        <v>0</v>
      </c>
      <c r="F94" s="22">
        <v>0</v>
      </c>
      <c r="G94" s="22">
        <v>0</v>
      </c>
      <c r="H94" s="22">
        <v>0.36491699999999999</v>
      </c>
      <c r="I94" s="22">
        <f t="shared" si="1"/>
        <v>0.36491699999999999</v>
      </c>
      <c r="J94" s="90">
        <f t="shared" si="2"/>
        <v>0.364867</v>
      </c>
      <c r="K94" s="110">
        <f t="shared" si="6"/>
        <v>4.9999999999994493E-5</v>
      </c>
      <c r="L94" s="22">
        <v>0</v>
      </c>
      <c r="M94" s="22">
        <v>216.44800000000001</v>
      </c>
      <c r="N94" s="22">
        <v>0</v>
      </c>
      <c r="O94" s="22">
        <v>58.883299999999998</v>
      </c>
      <c r="P94" s="22">
        <f t="shared" si="15"/>
        <v>58.883299999999998</v>
      </c>
      <c r="Q94" s="22">
        <f t="shared" si="7"/>
        <v>58.883399999999995</v>
      </c>
      <c r="R94" s="22">
        <f t="shared" ref="R94:R125" si="16">(C94-C93)/Q94</f>
        <v>-1.6982714992680451E-2</v>
      </c>
      <c r="S94" s="22">
        <f t="shared" si="13"/>
        <v>-0.56039707880260803</v>
      </c>
      <c r="T94" s="22">
        <f t="shared" si="14"/>
        <v>4242.8907268462972</v>
      </c>
    </row>
    <row r="95" spans="1:20" x14ac:dyDescent="0.25">
      <c r="B95" s="22">
        <f t="shared" si="4"/>
        <v>34</v>
      </c>
      <c r="C95" s="22">
        <f t="shared" si="5"/>
        <v>60.45</v>
      </c>
      <c r="D95" s="22">
        <v>248</v>
      </c>
      <c r="E95" s="22">
        <v>0</v>
      </c>
      <c r="F95" s="22">
        <v>0</v>
      </c>
      <c r="G95" s="22">
        <v>0</v>
      </c>
      <c r="H95" s="22">
        <v>0.36491800000000002</v>
      </c>
      <c r="I95" s="22">
        <f t="shared" si="1"/>
        <v>0.36491800000000002</v>
      </c>
      <c r="J95" s="90">
        <f t="shared" si="2"/>
        <v>0.364867</v>
      </c>
      <c r="K95" s="110">
        <f t="shared" si="6"/>
        <v>5.1000000000023249E-5</v>
      </c>
      <c r="L95" s="22">
        <v>0</v>
      </c>
      <c r="M95" s="22">
        <v>216.446</v>
      </c>
      <c r="N95" s="22">
        <v>0</v>
      </c>
      <c r="O95" s="22">
        <v>58.883000000000003</v>
      </c>
      <c r="P95" s="22">
        <f t="shared" si="15"/>
        <v>58.883000000000003</v>
      </c>
      <c r="Q95" s="22">
        <f t="shared" si="7"/>
        <v>58.883150000000001</v>
      </c>
      <c r="R95" s="22">
        <f t="shared" si="16"/>
        <v>-1.6982787096138707E-2</v>
      </c>
      <c r="S95" s="22">
        <f t="shared" si="13"/>
        <v>-0.57737986589874679</v>
      </c>
      <c r="T95" s="22">
        <f t="shared" si="14"/>
        <v>4306.6791771749322</v>
      </c>
    </row>
    <row r="96" spans="1:20" x14ac:dyDescent="0.25">
      <c r="B96" s="22">
        <f t="shared" si="4"/>
        <v>35</v>
      </c>
      <c r="C96" s="22">
        <f t="shared" si="5"/>
        <v>59.45</v>
      </c>
      <c r="D96" s="22">
        <v>248</v>
      </c>
      <c r="E96" s="22">
        <v>0</v>
      </c>
      <c r="F96" s="22">
        <v>0</v>
      </c>
      <c r="G96" s="22">
        <v>0</v>
      </c>
      <c r="H96" s="22">
        <v>0.36492000000000002</v>
      </c>
      <c r="I96" s="22">
        <f t="shared" si="1"/>
        <v>0.36492000000000002</v>
      </c>
      <c r="J96" s="90">
        <f t="shared" si="2"/>
        <v>0.364867</v>
      </c>
      <c r="K96" s="110">
        <f t="shared" si="6"/>
        <v>5.3000000000025249E-5</v>
      </c>
      <c r="L96" s="22">
        <v>0</v>
      </c>
      <c r="M96" s="22">
        <v>216.44399999999999</v>
      </c>
      <c r="N96" s="22">
        <v>0</v>
      </c>
      <c r="O96" s="22">
        <v>58.882800000000003</v>
      </c>
      <c r="P96" s="22">
        <f t="shared" si="15"/>
        <v>58.882800000000003</v>
      </c>
      <c r="Q96" s="22">
        <f t="shared" si="7"/>
        <v>58.882900000000006</v>
      </c>
      <c r="R96" s="22">
        <f t="shared" si="16"/>
        <v>-1.6982859200209227E-2</v>
      </c>
      <c r="S96" s="22">
        <f t="shared" si="13"/>
        <v>-0.59436272509895605</v>
      </c>
      <c r="T96" s="22">
        <f t="shared" si="14"/>
        <v>4369.5429280417347</v>
      </c>
    </row>
    <row r="97" spans="1:20" x14ac:dyDescent="0.25">
      <c r="B97" s="22">
        <f t="shared" si="4"/>
        <v>36</v>
      </c>
      <c r="C97" s="22">
        <f t="shared" si="5"/>
        <v>58.45</v>
      </c>
      <c r="D97" s="22">
        <v>248</v>
      </c>
      <c r="E97" s="22">
        <v>0</v>
      </c>
      <c r="F97" s="22">
        <v>0</v>
      </c>
      <c r="G97" s="22">
        <v>0</v>
      </c>
      <c r="H97" s="22">
        <v>0.364921</v>
      </c>
      <c r="I97" s="22">
        <f t="shared" si="1"/>
        <v>0.364921</v>
      </c>
      <c r="J97" s="90">
        <f t="shared" si="2"/>
        <v>0.364867</v>
      </c>
      <c r="K97" s="110">
        <f t="shared" si="6"/>
        <v>5.3999999999998494E-5</v>
      </c>
      <c r="L97" s="22">
        <v>0</v>
      </c>
      <c r="M97" s="22">
        <v>216.44200000000001</v>
      </c>
      <c r="N97" s="22">
        <v>0</v>
      </c>
      <c r="O97" s="22">
        <v>58.882599999999996</v>
      </c>
      <c r="P97" s="22">
        <f t="shared" si="15"/>
        <v>58.882599999999996</v>
      </c>
      <c r="Q97" s="22">
        <f t="shared" si="7"/>
        <v>58.8827</v>
      </c>
      <c r="R97" s="22">
        <f t="shared" si="16"/>
        <v>-1.698291688390648E-2</v>
      </c>
      <c r="S97" s="22">
        <f t="shared" si="13"/>
        <v>-0.61134564198286256</v>
      </c>
      <c r="T97" s="22">
        <f t="shared" si="14"/>
        <v>4431.5143807000613</v>
      </c>
    </row>
    <row r="98" spans="1:20" ht="13" x14ac:dyDescent="0.3">
      <c r="A98" s="2"/>
      <c r="B98" s="22">
        <f t="shared" si="4"/>
        <v>37</v>
      </c>
      <c r="C98" s="22">
        <f t="shared" si="5"/>
        <v>57.45</v>
      </c>
      <c r="D98" s="22">
        <v>248</v>
      </c>
      <c r="E98" s="22">
        <v>0</v>
      </c>
      <c r="F98" s="22">
        <v>0</v>
      </c>
      <c r="G98" s="22">
        <v>0</v>
      </c>
      <c r="H98" s="22">
        <v>0.364923</v>
      </c>
      <c r="I98" s="22">
        <f t="shared" si="1"/>
        <v>0.364923</v>
      </c>
      <c r="J98" s="90">
        <f t="shared" si="2"/>
        <v>0.364867</v>
      </c>
      <c r="K98" s="110">
        <f t="shared" si="6"/>
        <v>5.6000000000000494E-5</v>
      </c>
      <c r="L98" s="22">
        <v>0</v>
      </c>
      <c r="M98" s="22">
        <v>216.44</v>
      </c>
      <c r="N98" s="22">
        <v>0</v>
      </c>
      <c r="O98" s="22">
        <v>58.882399999999997</v>
      </c>
      <c r="P98" s="22">
        <f t="shared" si="15"/>
        <v>58.882399999999997</v>
      </c>
      <c r="Q98" s="22">
        <f t="shared" si="7"/>
        <v>58.882499999999993</v>
      </c>
      <c r="R98" s="22">
        <f t="shared" si="16"/>
        <v>-1.6982974567995586E-2</v>
      </c>
      <c r="S98" s="22">
        <f t="shared" si="13"/>
        <v>-0.62832861655085814</v>
      </c>
      <c r="T98" s="22">
        <f t="shared" si="14"/>
        <v>4492.6304604519273</v>
      </c>
    </row>
    <row r="99" spans="1:20" x14ac:dyDescent="0.25">
      <c r="B99" s="22">
        <f t="shared" si="4"/>
        <v>38</v>
      </c>
      <c r="C99" s="22">
        <f t="shared" si="5"/>
        <v>56.45</v>
      </c>
      <c r="D99" s="22">
        <v>248</v>
      </c>
      <c r="E99" s="22">
        <v>0</v>
      </c>
      <c r="F99" s="22">
        <v>0</v>
      </c>
      <c r="G99" s="22">
        <v>0</v>
      </c>
      <c r="H99" s="22">
        <v>0.36492400000000003</v>
      </c>
      <c r="I99" s="22">
        <f t="shared" si="1"/>
        <v>0.36492400000000003</v>
      </c>
      <c r="J99" s="90">
        <f t="shared" si="2"/>
        <v>0.364867</v>
      </c>
      <c r="K99" s="110">
        <f t="shared" si="6"/>
        <v>5.7000000000029249E-5</v>
      </c>
      <c r="L99" s="22">
        <v>0</v>
      </c>
      <c r="M99" s="22">
        <v>216.43799999999999</v>
      </c>
      <c r="N99" s="22">
        <v>0</v>
      </c>
      <c r="O99" s="22">
        <v>58.882199999999997</v>
      </c>
      <c r="P99" s="22">
        <f t="shared" si="15"/>
        <v>58.882199999999997</v>
      </c>
      <c r="Q99" s="22">
        <f t="shared" si="7"/>
        <v>58.882300000000001</v>
      </c>
      <c r="R99" s="22">
        <f t="shared" si="16"/>
        <v>-1.6983032252476552E-2</v>
      </c>
      <c r="S99" s="22">
        <f t="shared" si="13"/>
        <v>-0.64531164880333469</v>
      </c>
      <c r="T99" s="22">
        <f t="shared" si="14"/>
        <v>4552.9256136575805</v>
      </c>
    </row>
    <row r="100" spans="1:20" x14ac:dyDescent="0.25">
      <c r="B100" s="22">
        <f t="shared" si="4"/>
        <v>39</v>
      </c>
      <c r="C100" s="22">
        <f t="shared" si="5"/>
        <v>55.45</v>
      </c>
      <c r="D100" s="22">
        <v>248</v>
      </c>
      <c r="E100" s="22">
        <v>0</v>
      </c>
      <c r="F100" s="22">
        <v>0</v>
      </c>
      <c r="G100" s="22">
        <v>0</v>
      </c>
      <c r="H100" s="22">
        <v>0.36492599999999997</v>
      </c>
      <c r="I100" s="22">
        <f t="shared" si="1"/>
        <v>0.36492599999999997</v>
      </c>
      <c r="J100" s="90">
        <f t="shared" si="2"/>
        <v>0.364867</v>
      </c>
      <c r="K100" s="110">
        <f t="shared" si="6"/>
        <v>5.8999999999975739E-5</v>
      </c>
      <c r="L100" s="22">
        <v>0</v>
      </c>
      <c r="M100" s="22">
        <v>216.43600000000001</v>
      </c>
      <c r="N100" s="22">
        <v>0</v>
      </c>
      <c r="O100" s="22">
        <v>58.881999999999998</v>
      </c>
      <c r="P100" s="22">
        <f t="shared" si="15"/>
        <v>58.881999999999998</v>
      </c>
      <c r="Q100" s="22">
        <f t="shared" si="7"/>
        <v>58.882099999999994</v>
      </c>
      <c r="R100" s="22">
        <f t="shared" si="16"/>
        <v>-1.6983089937349382E-2</v>
      </c>
      <c r="S100" s="22">
        <f t="shared" si="13"/>
        <v>-0.66229473874068412</v>
      </c>
      <c r="T100" s="22">
        <f t="shared" si="14"/>
        <v>4612.4320346559389</v>
      </c>
    </row>
    <row r="101" spans="1:20" x14ac:dyDescent="0.25">
      <c r="B101" s="22">
        <f t="shared" si="4"/>
        <v>40</v>
      </c>
      <c r="C101" s="22">
        <f t="shared" si="5"/>
        <v>54.45</v>
      </c>
      <c r="D101" s="22">
        <v>248</v>
      </c>
      <c r="E101" s="22">
        <v>0</v>
      </c>
      <c r="F101" s="22">
        <v>0</v>
      </c>
      <c r="G101" s="22">
        <v>0</v>
      </c>
      <c r="H101" s="22">
        <v>0.364927</v>
      </c>
      <c r="I101" s="22">
        <f t="shared" si="1"/>
        <v>0.364927</v>
      </c>
      <c r="J101" s="90">
        <f t="shared" si="2"/>
        <v>0.364867</v>
      </c>
      <c r="K101" s="110">
        <f t="shared" si="6"/>
        <v>6.0000000000004494E-5</v>
      </c>
      <c r="L101" s="22">
        <v>0</v>
      </c>
      <c r="M101" s="22">
        <v>216.434</v>
      </c>
      <c r="N101" s="22">
        <v>0</v>
      </c>
      <c r="O101" s="22">
        <v>58.881700000000002</v>
      </c>
      <c r="P101" s="22">
        <f t="shared" si="15"/>
        <v>58.881700000000002</v>
      </c>
      <c r="Q101" s="22">
        <f t="shared" si="7"/>
        <v>58.88185</v>
      </c>
      <c r="R101" s="22">
        <f t="shared" si="16"/>
        <v>-1.6983162043991484E-2</v>
      </c>
      <c r="S101" s="22">
        <f t="shared" si="13"/>
        <v>-0.67927790078467565</v>
      </c>
      <c r="T101" s="22">
        <f t="shared" si="14"/>
        <v>4671.1719830947713</v>
      </c>
    </row>
    <row r="102" spans="1:20" x14ac:dyDescent="0.25">
      <c r="B102" s="22">
        <f t="shared" si="4"/>
        <v>41</v>
      </c>
      <c r="C102" s="22">
        <f t="shared" si="5"/>
        <v>53.45</v>
      </c>
      <c r="D102" s="22">
        <v>248</v>
      </c>
      <c r="E102" s="22">
        <v>0</v>
      </c>
      <c r="F102" s="22">
        <v>0</v>
      </c>
      <c r="G102" s="22">
        <v>0</v>
      </c>
      <c r="H102" s="22">
        <v>0.364929</v>
      </c>
      <c r="I102" s="22">
        <f t="shared" si="1"/>
        <v>0.364929</v>
      </c>
      <c r="J102" s="90">
        <f t="shared" si="2"/>
        <v>0.364867</v>
      </c>
      <c r="K102" s="110">
        <f t="shared" si="6"/>
        <v>6.2000000000006494E-5</v>
      </c>
      <c r="L102" s="22">
        <v>0</v>
      </c>
      <c r="M102" s="22">
        <v>216.43100000000001</v>
      </c>
      <c r="N102" s="22">
        <v>0</v>
      </c>
      <c r="O102" s="22">
        <v>58.881500000000003</v>
      </c>
      <c r="P102" s="22">
        <f t="shared" si="15"/>
        <v>58.881500000000003</v>
      </c>
      <c r="Q102" s="22">
        <f t="shared" si="7"/>
        <v>58.881600000000006</v>
      </c>
      <c r="R102" s="22">
        <f t="shared" si="16"/>
        <v>-1.6983234151245887E-2</v>
      </c>
      <c r="S102" s="22">
        <f t="shared" si="13"/>
        <v>-0.69626113493592157</v>
      </c>
      <c r="T102" s="22">
        <f t="shared" si="14"/>
        <v>4729.1894953856063</v>
      </c>
    </row>
    <row r="103" spans="1:20" x14ac:dyDescent="0.25">
      <c r="B103" s="22">
        <f t="shared" si="4"/>
        <v>42</v>
      </c>
      <c r="C103" s="22">
        <f t="shared" si="5"/>
        <v>52.45</v>
      </c>
      <c r="D103" s="22">
        <v>248</v>
      </c>
      <c r="E103" s="22">
        <v>0</v>
      </c>
      <c r="F103" s="22">
        <v>0</v>
      </c>
      <c r="G103" s="22">
        <v>0</v>
      </c>
      <c r="H103" s="22">
        <v>0.36492999999999998</v>
      </c>
      <c r="I103" s="22">
        <f t="shared" si="1"/>
        <v>0.36492999999999998</v>
      </c>
      <c r="J103" s="90">
        <f t="shared" si="2"/>
        <v>0.364867</v>
      </c>
      <c r="K103" s="110">
        <f t="shared" si="6"/>
        <v>6.2999999999979739E-5</v>
      </c>
      <c r="L103" s="22">
        <v>0</v>
      </c>
      <c r="M103" s="22">
        <v>216.429</v>
      </c>
      <c r="N103" s="22">
        <v>0</v>
      </c>
      <c r="O103" s="22">
        <v>58.881300000000003</v>
      </c>
      <c r="P103" s="22">
        <f t="shared" si="15"/>
        <v>58.881300000000003</v>
      </c>
      <c r="Q103" s="22">
        <f t="shared" si="7"/>
        <v>58.881399999999999</v>
      </c>
      <c r="R103" s="22">
        <f t="shared" si="16"/>
        <v>-1.6983291837490276E-2</v>
      </c>
      <c r="S103" s="22">
        <f t="shared" ref="S103:S109" si="17">R103+S102</f>
        <v>-0.71324442677341182</v>
      </c>
      <c r="T103" s="22">
        <f t="shared" ref="T103:T109" si="18">P103*SQRT((-2*32.17*144*S103))</f>
        <v>4786.5032447938083</v>
      </c>
    </row>
    <row r="104" spans="1:20" x14ac:dyDescent="0.25">
      <c r="B104" s="22">
        <f t="shared" si="4"/>
        <v>43</v>
      </c>
      <c r="C104" s="22">
        <f t="shared" si="5"/>
        <v>51.45</v>
      </c>
      <c r="D104" s="22">
        <v>248</v>
      </c>
      <c r="E104" s="22">
        <v>0</v>
      </c>
      <c r="F104" s="22">
        <v>0</v>
      </c>
      <c r="G104" s="22">
        <v>0</v>
      </c>
      <c r="H104" s="22">
        <v>0.36493199999999998</v>
      </c>
      <c r="I104" s="22">
        <f t="shared" si="1"/>
        <v>0.36493199999999998</v>
      </c>
      <c r="J104" s="90">
        <f t="shared" si="2"/>
        <v>0.364867</v>
      </c>
      <c r="K104" s="110">
        <f t="shared" si="6"/>
        <v>6.4999999999981739E-5</v>
      </c>
      <c r="L104" s="22">
        <v>0</v>
      </c>
      <c r="M104" s="22">
        <v>216.42699999999999</v>
      </c>
      <c r="N104" s="22">
        <v>0</v>
      </c>
      <c r="O104" s="22">
        <v>58.881100000000004</v>
      </c>
      <c r="P104" s="22">
        <f t="shared" si="15"/>
        <v>58.881100000000004</v>
      </c>
      <c r="Q104" s="22">
        <f t="shared" si="7"/>
        <v>58.881200000000007</v>
      </c>
      <c r="R104" s="22">
        <f t="shared" si="16"/>
        <v>-1.6983349524126546E-2</v>
      </c>
      <c r="S104" s="22">
        <f t="shared" si="17"/>
        <v>-0.73022777629753832</v>
      </c>
      <c r="T104" s="22">
        <f t="shared" si="18"/>
        <v>4843.1382163975468</v>
      </c>
    </row>
    <row r="105" spans="1:20" x14ac:dyDescent="0.25">
      <c r="B105" s="22">
        <f t="shared" si="4"/>
        <v>44</v>
      </c>
      <c r="C105" s="22">
        <f t="shared" si="5"/>
        <v>50.45</v>
      </c>
      <c r="D105" s="22">
        <v>248</v>
      </c>
      <c r="E105" s="22">
        <v>0</v>
      </c>
      <c r="F105" s="22">
        <v>0</v>
      </c>
      <c r="G105" s="22">
        <v>0</v>
      </c>
      <c r="H105" s="22">
        <v>0.36493300000000001</v>
      </c>
      <c r="I105" s="22">
        <f t="shared" si="1"/>
        <v>0.36493300000000001</v>
      </c>
      <c r="J105" s="90">
        <f t="shared" si="2"/>
        <v>0.364867</v>
      </c>
      <c r="K105" s="110">
        <f t="shared" si="6"/>
        <v>6.6000000000010495E-5</v>
      </c>
      <c r="L105" s="22">
        <v>0</v>
      </c>
      <c r="M105" s="22">
        <v>216.42500000000001</v>
      </c>
      <c r="N105" s="22">
        <v>0</v>
      </c>
      <c r="O105" s="22">
        <v>58.880899999999997</v>
      </c>
      <c r="P105" s="22">
        <f t="shared" si="15"/>
        <v>58.880899999999997</v>
      </c>
      <c r="Q105" s="22">
        <f t="shared" si="7"/>
        <v>58.881</v>
      </c>
      <c r="R105" s="22">
        <f t="shared" si="16"/>
        <v>-1.69834072111547E-2</v>
      </c>
      <c r="S105" s="22">
        <f t="shared" si="17"/>
        <v>-0.74721118350869298</v>
      </c>
      <c r="T105" s="22">
        <f t="shared" si="18"/>
        <v>4899.1179507544412</v>
      </c>
    </row>
    <row r="106" spans="1:20" x14ac:dyDescent="0.25">
      <c r="B106" s="22">
        <f t="shared" si="4"/>
        <v>45</v>
      </c>
      <c r="C106" s="22">
        <f t="shared" si="5"/>
        <v>49.45</v>
      </c>
      <c r="D106" s="22">
        <v>248</v>
      </c>
      <c r="E106" s="22">
        <v>0</v>
      </c>
      <c r="F106" s="22">
        <v>0</v>
      </c>
      <c r="G106" s="22">
        <v>0</v>
      </c>
      <c r="H106" s="22">
        <v>0.36493500000000001</v>
      </c>
      <c r="I106" s="22">
        <f t="shared" si="1"/>
        <v>0.36493500000000001</v>
      </c>
      <c r="J106" s="90">
        <f t="shared" si="2"/>
        <v>0.364867</v>
      </c>
      <c r="K106" s="110">
        <f t="shared" si="6"/>
        <v>6.8000000000012495E-5</v>
      </c>
      <c r="L106" s="22">
        <v>0</v>
      </c>
      <c r="M106" s="22">
        <v>216.423</v>
      </c>
      <c r="N106" s="22">
        <v>0</v>
      </c>
      <c r="O106" s="22">
        <v>58.880699999999997</v>
      </c>
      <c r="P106" s="22">
        <f t="shared" si="15"/>
        <v>58.880699999999997</v>
      </c>
      <c r="Q106" s="22">
        <f t="shared" si="7"/>
        <v>58.880799999999994</v>
      </c>
      <c r="R106" s="22">
        <f t="shared" si="16"/>
        <v>-1.698346489857475E-2</v>
      </c>
      <c r="S106" s="22">
        <f t="shared" si="17"/>
        <v>-0.7641946484072677</v>
      </c>
      <c r="T106" s="22">
        <f t="shared" si="18"/>
        <v>4954.464658190248</v>
      </c>
    </row>
    <row r="107" spans="1:20" x14ac:dyDescent="0.25">
      <c r="B107" s="22">
        <f t="shared" si="4"/>
        <v>46</v>
      </c>
      <c r="C107" s="22">
        <f t="shared" si="5"/>
        <v>48.45</v>
      </c>
      <c r="D107" s="22">
        <v>248</v>
      </c>
      <c r="E107" s="22">
        <v>0</v>
      </c>
      <c r="F107" s="22">
        <v>0</v>
      </c>
      <c r="G107" s="22">
        <v>0</v>
      </c>
      <c r="H107" s="22">
        <v>0.36493599999999998</v>
      </c>
      <c r="I107" s="22">
        <f t="shared" si="1"/>
        <v>0.36493599999999998</v>
      </c>
      <c r="J107" s="90">
        <f t="shared" si="2"/>
        <v>0.364867</v>
      </c>
      <c r="K107" s="110">
        <f t="shared" si="6"/>
        <v>6.8999999999985739E-5</v>
      </c>
      <c r="L107" s="22">
        <v>0</v>
      </c>
      <c r="M107" s="22">
        <v>216.42099999999999</v>
      </c>
      <c r="N107" s="22">
        <v>0</v>
      </c>
      <c r="O107" s="22">
        <v>58.880499999999998</v>
      </c>
      <c r="P107" s="22">
        <f t="shared" si="15"/>
        <v>58.880499999999998</v>
      </c>
      <c r="Q107" s="22">
        <f t="shared" si="7"/>
        <v>58.880600000000001</v>
      </c>
      <c r="R107" s="22">
        <f t="shared" si="16"/>
        <v>-1.6983522586386687E-2</v>
      </c>
      <c r="S107" s="22">
        <f t="shared" si="17"/>
        <v>-0.78117817099365439</v>
      </c>
      <c r="T107" s="22">
        <f t="shared" si="18"/>
        <v>5009.1993217178388</v>
      </c>
    </row>
    <row r="108" spans="1:20" x14ac:dyDescent="0.25">
      <c r="B108" s="22">
        <f t="shared" si="4"/>
        <v>47</v>
      </c>
      <c r="C108" s="22">
        <f t="shared" si="5"/>
        <v>47.45</v>
      </c>
      <c r="D108" s="22">
        <v>248</v>
      </c>
      <c r="E108" s="22">
        <v>0</v>
      </c>
      <c r="F108" s="22">
        <v>0</v>
      </c>
      <c r="G108" s="22">
        <v>0</v>
      </c>
      <c r="H108" s="22">
        <v>0.36493799999999998</v>
      </c>
      <c r="I108" s="22">
        <f t="shared" si="1"/>
        <v>0.36493799999999998</v>
      </c>
      <c r="J108" s="90">
        <f t="shared" si="2"/>
        <v>0.364867</v>
      </c>
      <c r="K108" s="110">
        <f t="shared" si="6"/>
        <v>7.099999999998774E-5</v>
      </c>
      <c r="L108" s="22">
        <v>0</v>
      </c>
      <c r="M108" s="22">
        <v>216.41900000000001</v>
      </c>
      <c r="N108" s="22">
        <v>0</v>
      </c>
      <c r="O108" s="22">
        <v>58.880200000000002</v>
      </c>
      <c r="P108" s="22">
        <f t="shared" si="15"/>
        <v>58.880200000000002</v>
      </c>
      <c r="Q108" s="22">
        <f t="shared" si="7"/>
        <v>58.88035</v>
      </c>
      <c r="R108" s="22">
        <f t="shared" si="16"/>
        <v>-1.6983594696702721E-2</v>
      </c>
      <c r="S108" s="22">
        <f t="shared" si="17"/>
        <v>-0.79816176569035713</v>
      </c>
      <c r="T108" s="22">
        <f t="shared" si="18"/>
        <v>5063.3332363024101</v>
      </c>
    </row>
    <row r="109" spans="1:20" x14ac:dyDescent="0.25">
      <c r="B109" s="22">
        <f t="shared" si="4"/>
        <v>48</v>
      </c>
      <c r="C109" s="22">
        <f t="shared" si="5"/>
        <v>46.45</v>
      </c>
      <c r="D109" s="22">
        <v>248</v>
      </c>
      <c r="E109" s="22">
        <v>0</v>
      </c>
      <c r="F109" s="22">
        <v>0</v>
      </c>
      <c r="G109" s="22">
        <v>0</v>
      </c>
      <c r="H109" s="22">
        <v>0.36493900000000001</v>
      </c>
      <c r="I109" s="22">
        <f t="shared" si="1"/>
        <v>0.36493900000000001</v>
      </c>
      <c r="J109" s="90">
        <f t="shared" si="2"/>
        <v>0.364867</v>
      </c>
      <c r="K109" s="110">
        <f t="shared" si="6"/>
        <v>7.2000000000016495E-5</v>
      </c>
      <c r="L109" s="22">
        <v>0</v>
      </c>
      <c r="M109" s="22">
        <v>216.417</v>
      </c>
      <c r="N109" s="22">
        <v>0</v>
      </c>
      <c r="O109" s="22">
        <v>58.88</v>
      </c>
      <c r="P109" s="22">
        <f t="shared" si="15"/>
        <v>58.88</v>
      </c>
      <c r="Q109" s="22">
        <f t="shared" si="7"/>
        <v>58.880099999999999</v>
      </c>
      <c r="R109" s="22">
        <f t="shared" si="16"/>
        <v>-1.6983666807631102E-2</v>
      </c>
      <c r="S109" s="22">
        <f t="shared" si="17"/>
        <v>-0.81514543249798821</v>
      </c>
      <c r="T109" s="22">
        <f t="shared" si="18"/>
        <v>5116.9023065036272</v>
      </c>
    </row>
    <row r="110" spans="1:20" x14ac:dyDescent="0.25">
      <c r="B110" s="22">
        <f t="shared" si="4"/>
        <v>49</v>
      </c>
      <c r="C110" s="22">
        <f t="shared" si="5"/>
        <v>45.45</v>
      </c>
      <c r="D110" s="22">
        <v>248</v>
      </c>
      <c r="E110" s="22">
        <v>0</v>
      </c>
      <c r="F110" s="22">
        <v>0</v>
      </c>
      <c r="G110" s="22">
        <v>0</v>
      </c>
      <c r="H110" s="22">
        <v>0.36494100000000002</v>
      </c>
      <c r="I110" s="22">
        <f t="shared" si="1"/>
        <v>0.36494100000000002</v>
      </c>
      <c r="J110" s="90">
        <f t="shared" si="2"/>
        <v>0.364867</v>
      </c>
      <c r="K110" s="110">
        <f t="shared" si="6"/>
        <v>7.4000000000018495E-5</v>
      </c>
      <c r="L110" s="22">
        <v>0</v>
      </c>
      <c r="M110" s="22">
        <v>216.41499999999999</v>
      </c>
      <c r="N110" s="22">
        <v>0</v>
      </c>
      <c r="O110" s="22">
        <v>58.879800000000003</v>
      </c>
      <c r="P110" s="22">
        <f t="shared" si="15"/>
        <v>58.879800000000003</v>
      </c>
      <c r="Q110" s="22">
        <f t="shared" si="7"/>
        <v>58.879900000000006</v>
      </c>
      <c r="R110" s="22">
        <f t="shared" si="16"/>
        <v>-1.6983724496814699E-2</v>
      </c>
      <c r="S110" s="22">
        <f t="shared" ref="S110:S115" si="19">R110+S109</f>
        <v>-0.83212915699480294</v>
      </c>
      <c r="T110" s="22">
        <f t="shared" ref="T110:T115" si="20">P110*SQRT((-2*32.17*144*S110))</f>
        <v>5169.915802833525</v>
      </c>
    </row>
    <row r="111" spans="1:20" x14ac:dyDescent="0.25">
      <c r="B111" s="22">
        <f t="shared" si="4"/>
        <v>50</v>
      </c>
      <c r="C111" s="22">
        <f t="shared" si="5"/>
        <v>44.45</v>
      </c>
      <c r="D111" s="22">
        <v>248</v>
      </c>
      <c r="E111" s="22">
        <v>0</v>
      </c>
      <c r="F111" s="22">
        <v>0</v>
      </c>
      <c r="G111" s="22">
        <v>0</v>
      </c>
      <c r="H111" s="22">
        <v>0.36494199999999999</v>
      </c>
      <c r="I111" s="22">
        <f t="shared" si="1"/>
        <v>0.36494199999999999</v>
      </c>
      <c r="J111" s="90">
        <f t="shared" si="2"/>
        <v>0.364867</v>
      </c>
      <c r="K111" s="110">
        <f t="shared" si="6"/>
        <v>7.499999999999174E-5</v>
      </c>
      <c r="L111" s="22">
        <v>0</v>
      </c>
      <c r="M111" s="22">
        <v>216.41300000000001</v>
      </c>
      <c r="N111" s="22">
        <v>0</v>
      </c>
      <c r="O111" s="22">
        <v>58.879600000000003</v>
      </c>
      <c r="P111" s="22">
        <f t="shared" si="15"/>
        <v>58.879600000000003</v>
      </c>
      <c r="Q111" s="22">
        <f t="shared" si="7"/>
        <v>58.8797</v>
      </c>
      <c r="R111" s="22">
        <f t="shared" si="16"/>
        <v>-1.6983782186390215E-2</v>
      </c>
      <c r="S111" s="22">
        <f t="shared" si="19"/>
        <v>-0.84911293918119313</v>
      </c>
      <c r="T111" s="22">
        <f t="shared" si="20"/>
        <v>5222.3906445338098</v>
      </c>
    </row>
    <row r="112" spans="1:20" x14ac:dyDescent="0.25">
      <c r="B112" s="22">
        <f t="shared" si="4"/>
        <v>51</v>
      </c>
      <c r="C112" s="22">
        <f t="shared" si="5"/>
        <v>43.45</v>
      </c>
      <c r="D112" s="22">
        <v>248</v>
      </c>
      <c r="E112" s="22">
        <v>0</v>
      </c>
      <c r="F112" s="22">
        <v>0</v>
      </c>
      <c r="G112" s="22">
        <v>0</v>
      </c>
      <c r="H112" s="22">
        <v>0.36494399999999999</v>
      </c>
      <c r="I112" s="22">
        <f t="shared" si="1"/>
        <v>0.36494399999999999</v>
      </c>
      <c r="J112" s="90">
        <f t="shared" si="2"/>
        <v>0.364867</v>
      </c>
      <c r="K112" s="110">
        <f t="shared" si="6"/>
        <v>7.699999999999374E-5</v>
      </c>
      <c r="L112" s="22">
        <v>0</v>
      </c>
      <c r="M112" s="22">
        <v>216.411</v>
      </c>
      <c r="N112" s="22">
        <v>0</v>
      </c>
      <c r="O112" s="22">
        <v>58.879399999999997</v>
      </c>
      <c r="P112" s="22">
        <f t="shared" si="15"/>
        <v>58.879399999999997</v>
      </c>
      <c r="Q112" s="22">
        <f t="shared" si="7"/>
        <v>58.8795</v>
      </c>
      <c r="R112" s="22">
        <f t="shared" si="16"/>
        <v>-1.6983839876357647E-2</v>
      </c>
      <c r="S112" s="22">
        <f t="shared" si="19"/>
        <v>-0.86609677905755078</v>
      </c>
      <c r="T112" s="22">
        <f t="shared" si="20"/>
        <v>5274.342908978716</v>
      </c>
    </row>
    <row r="113" spans="1:20" x14ac:dyDescent="0.25">
      <c r="B113" s="22">
        <f t="shared" si="4"/>
        <v>52</v>
      </c>
      <c r="C113" s="22">
        <f t="shared" si="5"/>
        <v>42.45</v>
      </c>
      <c r="D113" s="22">
        <v>248</v>
      </c>
      <c r="E113" s="22">
        <v>0</v>
      </c>
      <c r="F113" s="22">
        <v>0</v>
      </c>
      <c r="G113" s="22">
        <v>0</v>
      </c>
      <c r="H113" s="22">
        <v>0.36494500000000002</v>
      </c>
      <c r="I113" s="22">
        <f t="shared" si="1"/>
        <v>0.36494500000000002</v>
      </c>
      <c r="J113" s="90">
        <f t="shared" si="2"/>
        <v>0.364867</v>
      </c>
      <c r="K113" s="110">
        <f t="shared" si="6"/>
        <v>7.8000000000022496E-5</v>
      </c>
      <c r="L113" s="22">
        <v>0</v>
      </c>
      <c r="M113" s="22">
        <v>216.40899999999999</v>
      </c>
      <c r="N113" s="22">
        <v>0</v>
      </c>
      <c r="O113" s="22">
        <v>58.879199999999997</v>
      </c>
      <c r="P113" s="22">
        <f t="shared" si="15"/>
        <v>58.879199999999997</v>
      </c>
      <c r="Q113" s="22">
        <f t="shared" si="7"/>
        <v>58.879300000000001</v>
      </c>
      <c r="R113" s="22">
        <f t="shared" si="16"/>
        <v>-1.6983897566716994E-2</v>
      </c>
      <c r="S113" s="22">
        <f t="shared" si="19"/>
        <v>-0.88308067662426781</v>
      </c>
      <c r="T113" s="22">
        <f t="shared" si="20"/>
        <v>5325.7878891803248</v>
      </c>
    </row>
    <row r="114" spans="1:20" x14ac:dyDescent="0.25">
      <c r="B114" s="22">
        <f t="shared" si="4"/>
        <v>53</v>
      </c>
      <c r="C114" s="22">
        <f t="shared" si="5"/>
        <v>41.45</v>
      </c>
      <c r="D114" s="22">
        <v>248</v>
      </c>
      <c r="E114" s="22">
        <v>0</v>
      </c>
      <c r="F114" s="22">
        <v>0</v>
      </c>
      <c r="G114" s="22">
        <v>0</v>
      </c>
      <c r="H114" s="22">
        <v>0.36494700000000002</v>
      </c>
      <c r="I114" s="22">
        <f t="shared" si="1"/>
        <v>0.36494700000000002</v>
      </c>
      <c r="J114" s="90">
        <f t="shared" si="2"/>
        <v>0.364867</v>
      </c>
      <c r="K114" s="110">
        <f t="shared" si="6"/>
        <v>8.0000000000024496E-5</v>
      </c>
      <c r="L114" s="22">
        <v>0</v>
      </c>
      <c r="M114" s="22">
        <v>216.40600000000001</v>
      </c>
      <c r="N114" s="22">
        <v>0</v>
      </c>
      <c r="O114" s="22">
        <v>58.878900000000002</v>
      </c>
      <c r="P114" s="22">
        <f t="shared" si="15"/>
        <v>58.878900000000002</v>
      </c>
      <c r="Q114" s="22">
        <f t="shared" si="7"/>
        <v>58.879049999999999</v>
      </c>
      <c r="R114" s="22">
        <f t="shared" si="16"/>
        <v>-1.6983969680217328E-2</v>
      </c>
      <c r="S114" s="22">
        <f t="shared" si="19"/>
        <v>-0.90006464630448513</v>
      </c>
      <c r="T114" s="22">
        <f t="shared" si="20"/>
        <v>5376.7310575717747</v>
      </c>
    </row>
    <row r="115" spans="1:20" x14ac:dyDescent="0.25">
      <c r="B115" s="22">
        <f t="shared" si="4"/>
        <v>54</v>
      </c>
      <c r="C115" s="22">
        <f t="shared" si="5"/>
        <v>40.450000000000003</v>
      </c>
      <c r="D115" s="22">
        <v>248</v>
      </c>
      <c r="E115" s="22">
        <v>0</v>
      </c>
      <c r="F115" s="22">
        <v>0</v>
      </c>
      <c r="G115" s="22">
        <v>0</v>
      </c>
      <c r="H115" s="22">
        <v>0.36494799999999999</v>
      </c>
      <c r="I115" s="22">
        <f t="shared" si="1"/>
        <v>0.36494799999999999</v>
      </c>
      <c r="J115" s="90">
        <f t="shared" si="2"/>
        <v>0.364867</v>
      </c>
      <c r="K115" s="110">
        <f t="shared" si="6"/>
        <v>8.099999999999774E-5</v>
      </c>
      <c r="L115" s="22">
        <v>0</v>
      </c>
      <c r="M115" s="22">
        <v>216.404</v>
      </c>
      <c r="N115" s="22">
        <v>0</v>
      </c>
      <c r="O115" s="22">
        <v>58.878700000000002</v>
      </c>
      <c r="P115" s="22">
        <f t="shared" si="15"/>
        <v>58.878700000000002</v>
      </c>
      <c r="Q115" s="22">
        <f t="shared" si="7"/>
        <v>58.878799999999998</v>
      </c>
      <c r="R115" s="22">
        <f t="shared" si="16"/>
        <v>-1.6984041794330048E-2</v>
      </c>
      <c r="S115" s="22">
        <f t="shared" si="19"/>
        <v>-0.91704868809881512</v>
      </c>
      <c r="T115" s="22">
        <f t="shared" si="20"/>
        <v>5427.2044683894792</v>
      </c>
    </row>
    <row r="116" spans="1:20" x14ac:dyDescent="0.25">
      <c r="B116" s="22">
        <f t="shared" si="4"/>
        <v>55</v>
      </c>
      <c r="C116" s="22">
        <f t="shared" si="5"/>
        <v>39.450000000000003</v>
      </c>
      <c r="D116" s="22">
        <v>248</v>
      </c>
      <c r="E116" s="22">
        <v>0</v>
      </c>
      <c r="F116" s="22">
        <v>0</v>
      </c>
      <c r="G116" s="22">
        <v>0</v>
      </c>
      <c r="H116" s="22">
        <v>0.36495</v>
      </c>
      <c r="I116" s="22">
        <f t="shared" si="1"/>
        <v>0.36495</v>
      </c>
      <c r="J116" s="90">
        <f t="shared" si="2"/>
        <v>0.364867</v>
      </c>
      <c r="K116" s="110">
        <f t="shared" si="6"/>
        <v>8.2999999999999741E-5</v>
      </c>
      <c r="L116" s="22">
        <v>0</v>
      </c>
      <c r="M116" s="22">
        <v>216.40199999999999</v>
      </c>
      <c r="N116" s="22">
        <v>0</v>
      </c>
      <c r="O116" s="22">
        <v>58.878500000000003</v>
      </c>
      <c r="P116" s="22">
        <f t="shared" si="15"/>
        <v>58.878500000000003</v>
      </c>
      <c r="Q116" s="22">
        <f t="shared" ref="Q116:Q129" si="21">(P116+P115)/2</f>
        <v>58.878600000000006</v>
      </c>
      <c r="R116" s="22">
        <f t="shared" si="16"/>
        <v>-1.6984099486061149E-2</v>
      </c>
      <c r="S116" s="22">
        <f t="shared" ref="S116:S126" si="22">R116+S115</f>
        <v>-0.93403278758487629</v>
      </c>
      <c r="T116" s="22">
        <f t="shared" ref="T116:T126" si="23">P116*SQRT((-2*32.17*144*S116))</f>
        <v>5477.2122708235684</v>
      </c>
    </row>
    <row r="117" spans="1:20" ht="13" x14ac:dyDescent="0.3">
      <c r="A117" s="2"/>
      <c r="B117" s="22">
        <f t="shared" si="4"/>
        <v>56</v>
      </c>
      <c r="C117" s="22">
        <f t="shared" si="5"/>
        <v>38.450000000000003</v>
      </c>
      <c r="D117" s="22">
        <v>248</v>
      </c>
      <c r="E117" s="22">
        <v>0</v>
      </c>
      <c r="F117" s="22">
        <v>0</v>
      </c>
      <c r="G117" s="22">
        <v>0</v>
      </c>
      <c r="H117" s="22">
        <v>0.36495100000000003</v>
      </c>
      <c r="I117" s="22">
        <f t="shared" si="1"/>
        <v>0.36495100000000003</v>
      </c>
      <c r="J117" s="90">
        <f t="shared" si="2"/>
        <v>0.364867</v>
      </c>
      <c r="K117" s="110">
        <f t="shared" si="6"/>
        <v>8.4000000000028496E-5</v>
      </c>
      <c r="L117" s="22">
        <v>0</v>
      </c>
      <c r="M117" s="22">
        <v>216.4</v>
      </c>
      <c r="N117" s="22">
        <v>0</v>
      </c>
      <c r="O117" s="22">
        <v>58.878300000000003</v>
      </c>
      <c r="P117" s="22">
        <f t="shared" si="15"/>
        <v>58.878300000000003</v>
      </c>
      <c r="Q117" s="22">
        <f t="shared" si="21"/>
        <v>58.878399999999999</v>
      </c>
      <c r="R117" s="22">
        <f t="shared" si="16"/>
        <v>-1.6984157178184189E-2</v>
      </c>
      <c r="S117" s="22">
        <f t="shared" si="22"/>
        <v>-0.95101694476306053</v>
      </c>
      <c r="T117" s="22">
        <f t="shared" si="23"/>
        <v>5526.7671037714381</v>
      </c>
    </row>
    <row r="118" spans="1:20" x14ac:dyDescent="0.25">
      <c r="B118" s="22">
        <f t="shared" si="4"/>
        <v>57</v>
      </c>
      <c r="C118" s="22">
        <f t="shared" si="5"/>
        <v>37.450000000000003</v>
      </c>
      <c r="D118" s="22">
        <v>248</v>
      </c>
      <c r="E118" s="22">
        <v>0</v>
      </c>
      <c r="F118" s="22">
        <v>0</v>
      </c>
      <c r="G118" s="22">
        <v>0</v>
      </c>
      <c r="H118" s="22">
        <v>0.36495300000000003</v>
      </c>
      <c r="I118" s="22">
        <f t="shared" si="1"/>
        <v>0.36495300000000003</v>
      </c>
      <c r="J118" s="90">
        <f t="shared" si="2"/>
        <v>0.364867</v>
      </c>
      <c r="K118" s="110">
        <f t="shared" si="6"/>
        <v>8.6000000000030496E-5</v>
      </c>
      <c r="L118" s="22">
        <v>0</v>
      </c>
      <c r="M118" s="22">
        <v>216.398</v>
      </c>
      <c r="N118" s="22">
        <v>0</v>
      </c>
      <c r="O118" s="22">
        <v>58.878100000000003</v>
      </c>
      <c r="P118" s="22">
        <f t="shared" si="15"/>
        <v>58.878100000000003</v>
      </c>
      <c r="Q118" s="22">
        <f t="shared" si="21"/>
        <v>58.878200000000007</v>
      </c>
      <c r="R118" s="22">
        <f t="shared" si="16"/>
        <v>-1.698421487069917E-2</v>
      </c>
      <c r="S118" s="22">
        <f t="shared" si="22"/>
        <v>-0.96800115963375966</v>
      </c>
      <c r="T118" s="22">
        <f t="shared" si="23"/>
        <v>5575.8810443488537</v>
      </c>
    </row>
    <row r="119" spans="1:20" x14ac:dyDescent="0.25">
      <c r="B119" s="22">
        <f t="shared" si="4"/>
        <v>58</v>
      </c>
      <c r="C119" s="22">
        <f t="shared" si="5"/>
        <v>36.450000000000003</v>
      </c>
      <c r="D119" s="22">
        <v>248</v>
      </c>
      <c r="E119" s="22">
        <v>0</v>
      </c>
      <c r="F119" s="22">
        <v>0</v>
      </c>
      <c r="G119" s="22">
        <v>0</v>
      </c>
      <c r="H119" s="22">
        <v>0.364954</v>
      </c>
      <c r="I119" s="22">
        <f t="shared" si="1"/>
        <v>0.364954</v>
      </c>
      <c r="J119" s="90">
        <f t="shared" si="2"/>
        <v>0.364867</v>
      </c>
      <c r="K119" s="110">
        <f t="shared" si="6"/>
        <v>8.7000000000003741E-5</v>
      </c>
      <c r="L119" s="22">
        <v>0</v>
      </c>
      <c r="M119" s="22">
        <v>216.39599999999999</v>
      </c>
      <c r="N119" s="22">
        <v>0</v>
      </c>
      <c r="O119" s="22">
        <v>58.877899999999997</v>
      </c>
      <c r="P119" s="22">
        <f t="shared" si="15"/>
        <v>58.877899999999997</v>
      </c>
      <c r="Q119" s="22">
        <f t="shared" si="21"/>
        <v>58.878</v>
      </c>
      <c r="R119" s="22">
        <f t="shared" si="16"/>
        <v>-1.6984272563606101E-2</v>
      </c>
      <c r="S119" s="22">
        <f t="shared" si="22"/>
        <v>-0.98498543219736578</v>
      </c>
      <c r="T119" s="22">
        <f t="shared" si="23"/>
        <v>5624.5656422402144</v>
      </c>
    </row>
    <row r="120" spans="1:20" x14ac:dyDescent="0.25">
      <c r="B120" s="22">
        <f t="shared" si="4"/>
        <v>59</v>
      </c>
      <c r="C120" s="22">
        <f t="shared" si="5"/>
        <v>35.450000000000003</v>
      </c>
      <c r="D120" s="22">
        <v>248</v>
      </c>
      <c r="E120" s="22">
        <v>0</v>
      </c>
      <c r="F120" s="22">
        <v>0</v>
      </c>
      <c r="G120" s="22">
        <v>0</v>
      </c>
      <c r="H120" s="22">
        <v>0.364956</v>
      </c>
      <c r="I120" s="22">
        <f t="shared" si="1"/>
        <v>0.364956</v>
      </c>
      <c r="J120" s="90">
        <f t="shared" si="2"/>
        <v>0.364867</v>
      </c>
      <c r="K120" s="110">
        <f t="shared" si="6"/>
        <v>8.9000000000005741E-5</v>
      </c>
      <c r="L120" s="22">
        <v>0</v>
      </c>
      <c r="M120" s="22">
        <v>216.39400000000001</v>
      </c>
      <c r="N120" s="22">
        <v>0</v>
      </c>
      <c r="O120" s="22">
        <v>58.877699999999997</v>
      </c>
      <c r="P120" s="22">
        <f t="shared" si="15"/>
        <v>58.877699999999997</v>
      </c>
      <c r="Q120" s="22">
        <f t="shared" si="21"/>
        <v>58.877799999999993</v>
      </c>
      <c r="R120" s="22">
        <f t="shared" si="16"/>
        <v>-1.6984330256904982E-2</v>
      </c>
      <c r="S120" s="22">
        <f t="shared" si="22"/>
        <v>-1.0019697624542707</v>
      </c>
      <c r="T120" s="22">
        <f t="shared" si="23"/>
        <v>5672.8319513945908</v>
      </c>
    </row>
    <row r="121" spans="1:20" x14ac:dyDescent="0.25">
      <c r="B121" s="22">
        <f t="shared" si="4"/>
        <v>60</v>
      </c>
      <c r="C121" s="22">
        <f t="shared" si="5"/>
        <v>34.450000000000003</v>
      </c>
      <c r="D121" s="22">
        <v>248</v>
      </c>
      <c r="E121" s="22">
        <v>0</v>
      </c>
      <c r="F121" s="22">
        <v>0</v>
      </c>
      <c r="G121" s="22">
        <v>0</v>
      </c>
      <c r="H121" s="22">
        <v>0.36495699999999998</v>
      </c>
      <c r="I121" s="22">
        <f t="shared" si="1"/>
        <v>0.36495699999999998</v>
      </c>
      <c r="J121" s="90">
        <f t="shared" si="2"/>
        <v>0.364867</v>
      </c>
      <c r="K121" s="110">
        <f t="shared" si="6"/>
        <v>8.9999999999978986E-5</v>
      </c>
      <c r="L121" s="22">
        <v>0</v>
      </c>
      <c r="M121" s="22">
        <v>216.392</v>
      </c>
      <c r="N121" s="22">
        <v>0</v>
      </c>
      <c r="O121" s="22">
        <v>58.877400000000002</v>
      </c>
      <c r="P121" s="22">
        <f t="shared" si="15"/>
        <v>58.877400000000002</v>
      </c>
      <c r="Q121" s="22">
        <f t="shared" si="21"/>
        <v>58.877549999999999</v>
      </c>
      <c r="R121" s="22">
        <f t="shared" si="16"/>
        <v>-1.6984402374079763E-2</v>
      </c>
      <c r="S121" s="22">
        <f t="shared" si="22"/>
        <v>-1.0189541648283504</v>
      </c>
      <c r="T121" s="22">
        <f t="shared" si="23"/>
        <v>5720.6808835433621</v>
      </c>
    </row>
    <row r="122" spans="1:20" x14ac:dyDescent="0.25">
      <c r="B122" s="22">
        <f t="shared" si="4"/>
        <v>61</v>
      </c>
      <c r="C122" s="22">
        <f t="shared" si="5"/>
        <v>33.450000000000003</v>
      </c>
      <c r="D122" s="22">
        <v>248</v>
      </c>
      <c r="E122" s="22">
        <v>0</v>
      </c>
      <c r="F122" s="22">
        <v>0</v>
      </c>
      <c r="G122" s="22">
        <v>0</v>
      </c>
      <c r="H122" s="22">
        <v>0.36495899999999998</v>
      </c>
      <c r="I122" s="22">
        <f t="shared" si="1"/>
        <v>0.36495899999999998</v>
      </c>
      <c r="J122" s="90">
        <f t="shared" si="2"/>
        <v>0.364867</v>
      </c>
      <c r="K122" s="110">
        <f t="shared" si="6"/>
        <v>9.1999999999980986E-5</v>
      </c>
      <c r="L122" s="22">
        <v>0</v>
      </c>
      <c r="M122" s="22">
        <v>216.39</v>
      </c>
      <c r="N122" s="22">
        <v>0</v>
      </c>
      <c r="O122" s="22">
        <v>58.877200000000002</v>
      </c>
      <c r="P122" s="22">
        <f t="shared" si="15"/>
        <v>58.877200000000002</v>
      </c>
      <c r="Q122" s="22">
        <f t="shared" si="21"/>
        <v>58.877300000000005</v>
      </c>
      <c r="R122" s="22">
        <f t="shared" si="16"/>
        <v>-1.6984474491866984E-2</v>
      </c>
      <c r="S122" s="22">
        <f t="shared" si="22"/>
        <v>-1.0359386393202175</v>
      </c>
      <c r="T122" s="22">
        <f t="shared" si="23"/>
        <v>5768.1419377176499</v>
      </c>
    </row>
    <row r="123" spans="1:20" x14ac:dyDescent="0.25">
      <c r="B123" s="22">
        <f t="shared" si="4"/>
        <v>62</v>
      </c>
      <c r="C123" s="22">
        <f t="shared" si="5"/>
        <v>32.450000000000003</v>
      </c>
      <c r="D123" s="22">
        <v>248</v>
      </c>
      <c r="E123" s="22">
        <v>0</v>
      </c>
      <c r="F123" s="22">
        <v>0</v>
      </c>
      <c r="G123" s="22">
        <v>0</v>
      </c>
      <c r="H123" s="22">
        <v>0.36496000000000001</v>
      </c>
      <c r="I123" s="22">
        <f t="shared" si="1"/>
        <v>0.36496000000000001</v>
      </c>
      <c r="J123" s="90">
        <f t="shared" si="2"/>
        <v>0.364867</v>
      </c>
      <c r="K123" s="110">
        <f t="shared" si="6"/>
        <v>9.3000000000009742E-5</v>
      </c>
      <c r="L123" s="22">
        <v>0</v>
      </c>
      <c r="M123" s="22">
        <v>216.38800000000001</v>
      </c>
      <c r="N123" s="22">
        <v>0</v>
      </c>
      <c r="O123" s="22">
        <v>58.877000000000002</v>
      </c>
      <c r="P123" s="22">
        <f t="shared" si="15"/>
        <v>58.877000000000002</v>
      </c>
      <c r="Q123" s="22">
        <f t="shared" si="21"/>
        <v>58.877099999999999</v>
      </c>
      <c r="R123" s="22">
        <f t="shared" si="16"/>
        <v>-1.6984532186537719E-2</v>
      </c>
      <c r="S123" s="22">
        <f t="shared" si="22"/>
        <v>-1.0529231715067551</v>
      </c>
      <c r="T123" s="22">
        <f t="shared" si="23"/>
        <v>5815.2151720953216</v>
      </c>
    </row>
    <row r="124" spans="1:20" x14ac:dyDescent="0.25">
      <c r="B124" s="22">
        <f t="shared" si="4"/>
        <v>63</v>
      </c>
      <c r="C124" s="22">
        <f t="shared" si="5"/>
        <v>31.450000000000003</v>
      </c>
      <c r="D124" s="22">
        <v>248</v>
      </c>
      <c r="E124" s="22">
        <v>0</v>
      </c>
      <c r="F124" s="22">
        <v>0</v>
      </c>
      <c r="G124" s="22">
        <v>0</v>
      </c>
      <c r="H124" s="22">
        <v>0.36496200000000001</v>
      </c>
      <c r="I124" s="22">
        <f t="shared" si="1"/>
        <v>0.36496200000000001</v>
      </c>
      <c r="J124" s="90">
        <f t="shared" si="2"/>
        <v>0.364867</v>
      </c>
      <c r="K124" s="110">
        <f t="shared" si="6"/>
        <v>9.5000000000011742E-5</v>
      </c>
      <c r="L124" s="22">
        <v>0</v>
      </c>
      <c r="M124" s="22">
        <v>216.386</v>
      </c>
      <c r="N124" s="22">
        <v>0</v>
      </c>
      <c r="O124" s="22">
        <v>58.876800000000003</v>
      </c>
      <c r="P124" s="22">
        <f t="shared" si="15"/>
        <v>58.876800000000003</v>
      </c>
      <c r="Q124" s="22">
        <f t="shared" si="21"/>
        <v>58.876900000000006</v>
      </c>
      <c r="R124" s="22">
        <f t="shared" si="16"/>
        <v>-1.6984589881600422E-2</v>
      </c>
      <c r="S124" s="22">
        <f t="shared" si="22"/>
        <v>-1.0699077613883554</v>
      </c>
      <c r="T124" s="22">
        <f t="shared" si="23"/>
        <v>5861.9099296801332</v>
      </c>
    </row>
    <row r="125" spans="1:20" x14ac:dyDescent="0.25">
      <c r="B125" s="22">
        <f t="shared" si="4"/>
        <v>64</v>
      </c>
      <c r="C125" s="22">
        <f t="shared" si="5"/>
        <v>30.450000000000003</v>
      </c>
      <c r="D125" s="22">
        <v>248</v>
      </c>
      <c r="E125" s="22">
        <v>0</v>
      </c>
      <c r="F125" s="22">
        <v>0</v>
      </c>
      <c r="G125" s="22">
        <v>0</v>
      </c>
      <c r="H125" s="22">
        <v>0.36496299999999998</v>
      </c>
      <c r="I125" s="22">
        <f t="shared" si="1"/>
        <v>0.36496299999999998</v>
      </c>
      <c r="J125" s="90">
        <f t="shared" si="2"/>
        <v>0.364867</v>
      </c>
      <c r="K125" s="110">
        <f t="shared" si="6"/>
        <v>9.5999999999984986E-5</v>
      </c>
      <c r="L125" s="22">
        <v>0</v>
      </c>
      <c r="M125" s="22">
        <v>216.38399999999999</v>
      </c>
      <c r="N125" s="22">
        <v>0</v>
      </c>
      <c r="O125" s="22">
        <v>58.876600000000003</v>
      </c>
      <c r="P125" s="22">
        <f t="shared" ref="P125:P126" si="24">O125</f>
        <v>58.876600000000003</v>
      </c>
      <c r="Q125" s="22">
        <f t="shared" si="21"/>
        <v>58.8767</v>
      </c>
      <c r="R125" s="22">
        <f t="shared" si="16"/>
        <v>-1.69846475770551E-2</v>
      </c>
      <c r="S125" s="22">
        <f t="shared" si="22"/>
        <v>-1.0868924089654106</v>
      </c>
      <c r="T125" s="22">
        <f t="shared" si="23"/>
        <v>5908.2351841657828</v>
      </c>
    </row>
    <row r="126" spans="1:20" x14ac:dyDescent="0.25">
      <c r="B126" s="22">
        <f t="shared" si="4"/>
        <v>65</v>
      </c>
      <c r="C126" s="22">
        <f t="shared" si="5"/>
        <v>29.450000000000003</v>
      </c>
      <c r="D126" s="22">
        <v>248</v>
      </c>
      <c r="E126" s="22">
        <v>0</v>
      </c>
      <c r="F126" s="22">
        <v>0</v>
      </c>
      <c r="G126" s="22">
        <v>0</v>
      </c>
      <c r="H126" s="22">
        <v>0.36496499999999998</v>
      </c>
      <c r="I126" s="22">
        <f t="shared" ref="I126" si="25">H126</f>
        <v>0.36496499999999998</v>
      </c>
      <c r="J126" s="90">
        <f t="shared" ref="J126" si="26">$H$61</f>
        <v>0.364867</v>
      </c>
      <c r="K126" s="110">
        <f t="shared" si="6"/>
        <v>9.7999999999986986E-5</v>
      </c>
      <c r="L126" s="22">
        <v>0</v>
      </c>
      <c r="M126" s="22">
        <v>216.381</v>
      </c>
      <c r="N126" s="22">
        <v>0</v>
      </c>
      <c r="O126" s="22">
        <v>58.876399999999997</v>
      </c>
      <c r="P126" s="22">
        <f t="shared" si="24"/>
        <v>58.876399999999997</v>
      </c>
      <c r="Q126" s="22">
        <f t="shared" si="21"/>
        <v>58.8765</v>
      </c>
      <c r="R126" s="22">
        <f t="shared" ref="R126" si="27">(C126-C125)/Q126</f>
        <v>-1.6984705272901753E-2</v>
      </c>
      <c r="S126" s="22">
        <f t="shared" si="22"/>
        <v>-1.1038771142383124</v>
      </c>
      <c r="T126" s="102">
        <f t="shared" si="23"/>
        <v>5954.1995600564151</v>
      </c>
    </row>
    <row r="127" spans="1:20" x14ac:dyDescent="0.25">
      <c r="B127" s="22">
        <f t="shared" ref="B127:B141" si="28">B126+1</f>
        <v>66</v>
      </c>
      <c r="C127" s="22">
        <f t="shared" ref="C127:C140" si="29">C126-1</f>
        <v>28.450000000000003</v>
      </c>
      <c r="D127" s="22">
        <v>247.27600000000001</v>
      </c>
      <c r="E127" s="22">
        <v>7.0080798159838711E-4</v>
      </c>
      <c r="F127" s="22">
        <f t="shared" ref="F127:F141" si="30">E127/(E127+(1-E127)*(N127/O127))</f>
        <v>0.37372158349975126</v>
      </c>
      <c r="G127" s="22">
        <v>1.70381</v>
      </c>
      <c r="H127" s="22">
        <v>0.36392799999999997</v>
      </c>
      <c r="I127" s="90">
        <f t="shared" ref="I127:I141" si="31">E127*G127+(1-E127)*H127</f>
        <v>0.364867</v>
      </c>
      <c r="J127" s="90">
        <v>0.364867</v>
      </c>
      <c r="K127" s="67">
        <f t="shared" ref="K127:K133" si="32">I127-J127</f>
        <v>0</v>
      </c>
      <c r="L127" s="22">
        <v>1162.8699999999999</v>
      </c>
      <c r="M127" s="22">
        <v>215.64500000000001</v>
      </c>
      <c r="N127" s="21">
        <v>6.9216799999999995E-2</v>
      </c>
      <c r="O127" s="22">
        <v>58.8964</v>
      </c>
      <c r="P127" s="21">
        <f t="shared" ref="P127:P141" si="33">F127*N127+(1-F127)*O127</f>
        <v>36.911411941666032</v>
      </c>
      <c r="Q127" s="22">
        <f t="shared" si="21"/>
        <v>47.893905970833018</v>
      </c>
      <c r="R127" s="22">
        <f t="shared" ref="R127" si="34">(C127-C126)/Q127</f>
        <v>-2.087948309350654E-2</v>
      </c>
      <c r="S127" s="22">
        <f t="shared" ref="S127" si="35">R127+S126</f>
        <v>-1.124756597331819</v>
      </c>
      <c r="T127" s="22">
        <f t="shared" ref="T127" si="36">P127*SQRT((-2*32.17*144*S127))</f>
        <v>3768.0070540890956</v>
      </c>
    </row>
    <row r="128" spans="1:20" x14ac:dyDescent="0.25">
      <c r="B128" s="22">
        <f t="shared" si="28"/>
        <v>67</v>
      </c>
      <c r="C128" s="22">
        <f t="shared" si="29"/>
        <v>27.450000000000003</v>
      </c>
      <c r="D128" s="22">
        <v>245.25399999999999</v>
      </c>
      <c r="E128" s="22">
        <v>2.8529345318779875E-3</v>
      </c>
      <c r="F128" s="22">
        <f t="shared" si="30"/>
        <v>0.71589480996804544</v>
      </c>
      <c r="G128" s="22">
        <v>1.7066600000000001</v>
      </c>
      <c r="H128" s="22">
        <v>0.36102800000000002</v>
      </c>
      <c r="I128" s="22">
        <f t="shared" si="31"/>
        <v>0.36486700000000005</v>
      </c>
      <c r="J128" s="90">
        <f t="shared" ref="J128:J133" si="37">J127</f>
        <v>0.364867</v>
      </c>
      <c r="K128" s="67">
        <f t="shared" si="32"/>
        <v>0</v>
      </c>
      <c r="L128" s="22">
        <v>1162.1600000000001</v>
      </c>
      <c r="M128" s="22">
        <v>213.59399999999999</v>
      </c>
      <c r="N128" s="21">
        <v>6.6936999999999997E-2</v>
      </c>
      <c r="O128" s="22">
        <v>58.9527</v>
      </c>
      <c r="P128" s="21">
        <f t="shared" si="33"/>
        <v>16.79668788729164</v>
      </c>
      <c r="Q128" s="22">
        <f t="shared" si="21"/>
        <v>26.854049914478836</v>
      </c>
      <c r="R128" s="22">
        <f t="shared" ref="R128:R141" si="38">(C128-C127)/Q128</f>
        <v>-3.7238331022123865E-2</v>
      </c>
      <c r="S128" s="22">
        <f>S127+R128</f>
        <v>-1.1619949283539428</v>
      </c>
      <c r="T128" s="22">
        <f>P128*SQRT(-2*32.17*144*S128)</f>
        <v>1742.7999664950135</v>
      </c>
    </row>
    <row r="129" spans="2:20" x14ac:dyDescent="0.25">
      <c r="B129" s="22">
        <f t="shared" si="28"/>
        <v>68</v>
      </c>
      <c r="C129" s="22">
        <f t="shared" si="29"/>
        <v>26.450000000000003</v>
      </c>
      <c r="D129" s="91">
        <v>243.17</v>
      </c>
      <c r="E129" s="22">
        <v>5.0577505439893811E-3</v>
      </c>
      <c r="F129" s="22">
        <f t="shared" si="30"/>
        <v>0.82269033394029045</v>
      </c>
      <c r="G129" s="92">
        <v>1.7096199999999999</v>
      </c>
      <c r="H129" s="91">
        <v>0.35803099999999999</v>
      </c>
      <c r="I129" s="22">
        <f t="shared" si="31"/>
        <v>0.36486700000000005</v>
      </c>
      <c r="J129" s="90">
        <f t="shared" si="37"/>
        <v>0.364867</v>
      </c>
      <c r="K129" s="67">
        <f t="shared" si="32"/>
        <v>0</v>
      </c>
      <c r="L129" s="92">
        <v>1161.43</v>
      </c>
      <c r="M129" s="91">
        <v>211.482</v>
      </c>
      <c r="N129" s="93">
        <v>6.4652100000000004E-2</v>
      </c>
      <c r="O129" s="91">
        <v>59.010199999999998</v>
      </c>
      <c r="P129" s="21">
        <f t="shared" si="33"/>
        <v>10.516267513855613</v>
      </c>
      <c r="Q129" s="22">
        <f t="shared" si="21"/>
        <v>13.656477700573626</v>
      </c>
      <c r="R129" s="21">
        <f t="shared" si="38"/>
        <v>-7.3225323683426519E-2</v>
      </c>
      <c r="S129" s="21">
        <f t="shared" ref="S129:S141" si="39">R129+S128</f>
        <v>-1.2352202520373694</v>
      </c>
      <c r="T129" s="21">
        <f t="shared" ref="T129:T141" si="40">Q129*SQRT(-2*32.17*144*S129)</f>
        <v>1460.9409954640068</v>
      </c>
    </row>
    <row r="130" spans="2:20" x14ac:dyDescent="0.25">
      <c r="B130" s="22">
        <f t="shared" si="28"/>
        <v>69</v>
      </c>
      <c r="C130" s="22">
        <f t="shared" si="29"/>
        <v>25.450000000000003</v>
      </c>
      <c r="D130" s="91">
        <v>241.02099999999999</v>
      </c>
      <c r="E130" s="22">
        <v>7.3164785745902725E-3</v>
      </c>
      <c r="F130" s="22">
        <f t="shared" si="30"/>
        <v>0.8747063057967962</v>
      </c>
      <c r="G130" s="92">
        <v>1.71269</v>
      </c>
      <c r="H130" s="91">
        <v>0.354933</v>
      </c>
      <c r="I130" s="22">
        <f t="shared" si="31"/>
        <v>0.36486699999999994</v>
      </c>
      <c r="J130" s="90">
        <f t="shared" si="37"/>
        <v>0.364867</v>
      </c>
      <c r="K130" s="67">
        <f t="shared" si="32"/>
        <v>0</v>
      </c>
      <c r="L130" s="92">
        <v>1160.68</v>
      </c>
      <c r="M130" s="91">
        <v>209.30500000000001</v>
      </c>
      <c r="N130" s="93">
        <v>6.2361899999999998E-2</v>
      </c>
      <c r="O130" s="91">
        <v>59.069200000000002</v>
      </c>
      <c r="P130" s="21">
        <f t="shared" si="33"/>
        <v>7.4555466287993548</v>
      </c>
      <c r="Q130" s="22">
        <f t="shared" ref="Q130" si="41">(P130+P129)/2</f>
        <v>8.9859070713274836</v>
      </c>
      <c r="R130" s="21">
        <f t="shared" si="38"/>
        <v>-0.11128537075470452</v>
      </c>
      <c r="S130" s="21">
        <f t="shared" si="39"/>
        <v>-1.346505622792074</v>
      </c>
      <c r="T130" s="21">
        <f t="shared" si="40"/>
        <v>1003.662696709774</v>
      </c>
    </row>
    <row r="131" spans="2:20" x14ac:dyDescent="0.25">
      <c r="B131" s="22">
        <f t="shared" si="28"/>
        <v>70</v>
      </c>
      <c r="C131" s="22">
        <f t="shared" si="29"/>
        <v>24.450000000000003</v>
      </c>
      <c r="D131" s="91">
        <v>238.80199999999999</v>
      </c>
      <c r="E131" s="22">
        <v>9.6337319898985932E-3</v>
      </c>
      <c r="F131" s="22">
        <f t="shared" si="30"/>
        <v>0.90544462932252878</v>
      </c>
      <c r="G131" s="92">
        <v>1.7158899999999999</v>
      </c>
      <c r="H131" s="91">
        <v>0.35172500000000001</v>
      </c>
      <c r="I131" s="22">
        <f t="shared" si="31"/>
        <v>0.364867</v>
      </c>
      <c r="J131" s="90">
        <f t="shared" si="37"/>
        <v>0.364867</v>
      </c>
      <c r="K131" s="67">
        <f t="shared" si="32"/>
        <v>0</v>
      </c>
      <c r="L131" s="92">
        <v>1159.8900000000001</v>
      </c>
      <c r="M131" s="91">
        <v>207.05799999999999</v>
      </c>
      <c r="N131" s="93">
        <v>6.0066099999999997E-2</v>
      </c>
      <c r="O131" s="91">
        <v>59.129800000000003</v>
      </c>
      <c r="P131" s="21">
        <f t="shared" si="33"/>
        <v>5.6454266847340877</v>
      </c>
      <c r="Q131" s="22">
        <f t="shared" ref="Q131" si="42">(P131+P130)/2</f>
        <v>6.5504866567667213</v>
      </c>
      <c r="R131" s="21">
        <f t="shared" si="38"/>
        <v>-0.15266041324837895</v>
      </c>
      <c r="S131" s="21">
        <f t="shared" si="39"/>
        <v>-1.4991660360404528</v>
      </c>
      <c r="T131" s="21">
        <f t="shared" si="40"/>
        <v>772.00516860393998</v>
      </c>
    </row>
    <row r="132" spans="2:20" x14ac:dyDescent="0.25">
      <c r="B132" s="22">
        <f t="shared" si="28"/>
        <v>71</v>
      </c>
      <c r="C132" s="22">
        <f t="shared" si="29"/>
        <v>23.450000000000003</v>
      </c>
      <c r="D132" s="91">
        <v>236.50700000000001</v>
      </c>
      <c r="E132" s="22">
        <v>1.2013959507507221E-2</v>
      </c>
      <c r="F132" s="22">
        <f t="shared" si="30"/>
        <v>0.92570897456916579</v>
      </c>
      <c r="G132" s="92">
        <v>1.71922</v>
      </c>
      <c r="H132" s="91">
        <v>0.34839799999999999</v>
      </c>
      <c r="I132" s="22">
        <f t="shared" si="31"/>
        <v>0.36486700000000005</v>
      </c>
      <c r="J132" s="90">
        <f t="shared" si="37"/>
        <v>0.364867</v>
      </c>
      <c r="K132" s="67">
        <f t="shared" si="32"/>
        <v>0</v>
      </c>
      <c r="L132" s="92">
        <v>1159.07</v>
      </c>
      <c r="M132" s="91">
        <v>204.73400000000001</v>
      </c>
      <c r="N132" s="93">
        <v>5.7764299999999998E-2</v>
      </c>
      <c r="O132" s="91">
        <v>59.191899999999997</v>
      </c>
      <c r="P132" s="21">
        <f t="shared" si="33"/>
        <v>4.4508998791191017</v>
      </c>
      <c r="Q132" s="22">
        <f t="shared" ref="Q132" si="43">(P132+P131)/2</f>
        <v>5.0481632819265947</v>
      </c>
      <c r="R132" s="21">
        <f t="shared" si="38"/>
        <v>-0.19809184928312329</v>
      </c>
      <c r="S132" s="21">
        <f t="shared" si="39"/>
        <v>-1.6972578853235762</v>
      </c>
      <c r="T132" s="21">
        <f t="shared" si="40"/>
        <v>633.03698676101044</v>
      </c>
    </row>
    <row r="133" spans="2:20" x14ac:dyDescent="0.25">
      <c r="B133" s="22">
        <f t="shared" si="28"/>
        <v>72</v>
      </c>
      <c r="C133" s="22">
        <f t="shared" si="29"/>
        <v>22.450000000000003</v>
      </c>
      <c r="D133" s="91">
        <v>234.131</v>
      </c>
      <c r="E133" s="22">
        <v>1.4461185825947532E-2</v>
      </c>
      <c r="F133" s="22">
        <f t="shared" si="30"/>
        <v>0.9400430983067094</v>
      </c>
      <c r="G133" s="92">
        <v>1.7226999999999999</v>
      </c>
      <c r="H133" s="94">
        <v>0.344943</v>
      </c>
      <c r="I133" s="22">
        <f t="shared" si="31"/>
        <v>0.36486699999999994</v>
      </c>
      <c r="J133" s="90">
        <f t="shared" si="37"/>
        <v>0.364867</v>
      </c>
      <c r="K133" s="67">
        <f t="shared" si="32"/>
        <v>0</v>
      </c>
      <c r="L133" s="92">
        <v>1158.22</v>
      </c>
      <c r="M133" s="91">
        <v>202.33</v>
      </c>
      <c r="N133" s="93">
        <v>5.5456499999999999E-2</v>
      </c>
      <c r="O133" s="91">
        <v>59.255800000000001</v>
      </c>
      <c r="P133" s="21">
        <f t="shared" si="33"/>
        <v>3.604925675438535</v>
      </c>
      <c r="Q133" s="22">
        <f t="shared" ref="Q133" si="44">(P133+P132)/2</f>
        <v>4.0279127772788179</v>
      </c>
      <c r="R133" s="21">
        <f t="shared" si="38"/>
        <v>-0.24826754085662728</v>
      </c>
      <c r="S133" s="21">
        <f t="shared" si="39"/>
        <v>-1.9455254261802035</v>
      </c>
      <c r="T133" s="21">
        <f t="shared" si="40"/>
        <v>540.77958398304986</v>
      </c>
    </row>
    <row r="134" spans="2:20" x14ac:dyDescent="0.25">
      <c r="B134" s="22">
        <f t="shared" si="28"/>
        <v>73</v>
      </c>
      <c r="C134" s="22">
        <f t="shared" si="29"/>
        <v>21.450000000000003</v>
      </c>
      <c r="D134" s="91">
        <v>231.666</v>
      </c>
      <c r="E134" s="22">
        <v>1.6982035288264967E-2</v>
      </c>
      <c r="F134" s="22">
        <f t="shared" si="30"/>
        <v>0.95070045532663128</v>
      </c>
      <c r="G134" s="92">
        <v>1.72634</v>
      </c>
      <c r="H134" s="91">
        <v>0.34134700000000001</v>
      </c>
      <c r="I134" s="22">
        <f t="shared" si="31"/>
        <v>0.36486699999999994</v>
      </c>
      <c r="J134" s="90">
        <f t="shared" ref="J134" si="45">J133</f>
        <v>0.364867</v>
      </c>
      <c r="K134" s="67">
        <f t="shared" ref="K134:K135" si="46">I134-J134</f>
        <v>0</v>
      </c>
      <c r="L134" s="92">
        <v>1157.33</v>
      </c>
      <c r="M134" s="91">
        <v>199.83600000000001</v>
      </c>
      <c r="N134" s="93">
        <v>5.3142300000000003E-2</v>
      </c>
      <c r="O134" s="91">
        <v>59.321599999999997</v>
      </c>
      <c r="P134" s="21">
        <f t="shared" si="33"/>
        <v>2.9750502781028145</v>
      </c>
      <c r="Q134" s="22">
        <f t="shared" ref="Q134" si="47">(P134+P133)/2</f>
        <v>3.289987976770675</v>
      </c>
      <c r="R134" s="21">
        <f t="shared" si="38"/>
        <v>-0.30395247856849655</v>
      </c>
      <c r="S134" s="21">
        <f t="shared" si="39"/>
        <v>-2.2494779047487001</v>
      </c>
      <c r="T134" s="21">
        <f t="shared" si="40"/>
        <v>474.95990714667789</v>
      </c>
    </row>
    <row r="135" spans="2:20" x14ac:dyDescent="0.25">
      <c r="B135" s="22">
        <f t="shared" si="28"/>
        <v>74</v>
      </c>
      <c r="C135" s="22">
        <f t="shared" si="29"/>
        <v>20.450000000000003</v>
      </c>
      <c r="D135" s="91">
        <v>229.10400000000001</v>
      </c>
      <c r="E135" s="22">
        <v>1.9580625471257763E-2</v>
      </c>
      <c r="F135" s="22">
        <f t="shared" si="30"/>
        <v>0.95891335592968963</v>
      </c>
      <c r="G135" s="92">
        <v>1.7301500000000001</v>
      </c>
      <c r="H135" s="91">
        <v>0.33760000000000001</v>
      </c>
      <c r="I135" s="22">
        <f t="shared" si="31"/>
        <v>0.36486700000000005</v>
      </c>
      <c r="J135" s="90">
        <f t="shared" ref="J135" si="48">J134</f>
        <v>0.364867</v>
      </c>
      <c r="K135" s="67">
        <f t="shared" si="46"/>
        <v>0</v>
      </c>
      <c r="L135" s="92">
        <v>1156.4000000000001</v>
      </c>
      <c r="M135" s="91">
        <v>197.24700000000001</v>
      </c>
      <c r="N135" s="93">
        <v>5.0821199999999997E-2</v>
      </c>
      <c r="O135" s="91">
        <v>59.389400000000002</v>
      </c>
      <c r="P135" s="21">
        <f t="shared" si="33"/>
        <v>2.4888442667936652</v>
      </c>
      <c r="Q135" s="22">
        <f t="shared" ref="Q135" si="49">(P135+P134)/2</f>
        <v>2.7319472724482399</v>
      </c>
      <c r="R135" s="21">
        <f t="shared" si="38"/>
        <v>-0.36603927538610509</v>
      </c>
      <c r="S135" s="21">
        <f t="shared" si="39"/>
        <v>-2.6155171801348054</v>
      </c>
      <c r="T135" s="21">
        <f t="shared" si="40"/>
        <v>425.27795989617556</v>
      </c>
    </row>
    <row r="136" spans="2:20" x14ac:dyDescent="0.25">
      <c r="B136" s="22">
        <f t="shared" si="28"/>
        <v>75</v>
      </c>
      <c r="C136" s="22">
        <f t="shared" si="29"/>
        <v>19.450000000000003</v>
      </c>
      <c r="D136" s="91">
        <v>226.43700000000001</v>
      </c>
      <c r="E136" s="22">
        <v>2.2265302843678066E-2</v>
      </c>
      <c r="F136" s="22">
        <f t="shared" si="30"/>
        <v>0.96542457637929691</v>
      </c>
      <c r="G136" s="92">
        <v>1.7341599999999999</v>
      </c>
      <c r="H136" s="91">
        <v>0.33368500000000001</v>
      </c>
      <c r="I136" s="22">
        <f t="shared" si="31"/>
        <v>0.36486700000000005</v>
      </c>
      <c r="J136" s="90">
        <f t="shared" ref="J136" si="50">J135</f>
        <v>0.364867</v>
      </c>
      <c r="K136" s="67">
        <f t="shared" ref="K136" si="51">I136-J136</f>
        <v>0</v>
      </c>
      <c r="L136" s="92">
        <v>1155.43</v>
      </c>
      <c r="M136" s="91">
        <v>194.553</v>
      </c>
      <c r="N136" s="93">
        <v>4.8492800000000003E-2</v>
      </c>
      <c r="O136" s="91">
        <v>59.459400000000002</v>
      </c>
      <c r="P136" s="21">
        <f t="shared" si="33"/>
        <v>2.1026500841302793</v>
      </c>
      <c r="Q136" s="22">
        <f t="shared" ref="Q136" si="52">(P136+P135)/2</f>
        <v>2.2957471754619725</v>
      </c>
      <c r="R136" s="21">
        <f t="shared" si="38"/>
        <v>-0.43558803455732026</v>
      </c>
      <c r="S136" s="21">
        <f t="shared" si="39"/>
        <v>-3.0511052146921256</v>
      </c>
      <c r="T136" s="21">
        <f t="shared" si="40"/>
        <v>385.98855281196847</v>
      </c>
    </row>
    <row r="137" spans="2:20" x14ac:dyDescent="0.25">
      <c r="B137" s="22">
        <f t="shared" si="28"/>
        <v>76</v>
      </c>
      <c r="C137" s="22">
        <f t="shared" si="29"/>
        <v>18.450000000000003</v>
      </c>
      <c r="D137" s="91">
        <v>223.655</v>
      </c>
      <c r="E137" s="22">
        <v>2.5043405920240996E-2</v>
      </c>
      <c r="F137" s="22">
        <f t="shared" si="30"/>
        <v>0.97070020195295803</v>
      </c>
      <c r="G137" s="92">
        <v>1.73838</v>
      </c>
      <c r="H137" s="91">
        <v>0.32958599999999999</v>
      </c>
      <c r="I137" s="22">
        <f t="shared" si="31"/>
        <v>0.364867</v>
      </c>
      <c r="J137" s="90">
        <f t="shared" ref="J137" si="53">J136</f>
        <v>0.364867</v>
      </c>
      <c r="K137" s="67">
        <f t="shared" ref="K137" si="54">I137-J137</f>
        <v>0</v>
      </c>
      <c r="L137" s="92">
        <v>1154.4100000000001</v>
      </c>
      <c r="M137" s="91">
        <v>191.744</v>
      </c>
      <c r="N137" s="93">
        <v>4.6156900000000001E-2</v>
      </c>
      <c r="O137" s="91">
        <v>59.531799999999997</v>
      </c>
      <c r="P137" s="21">
        <f t="shared" si="33"/>
        <v>1.7890742295284157</v>
      </c>
      <c r="Q137" s="22">
        <f t="shared" ref="Q137" si="55">(P137+P136)/2</f>
        <v>1.9458621568293475</v>
      </c>
      <c r="R137" s="21">
        <f t="shared" si="38"/>
        <v>-0.51391101702159281</v>
      </c>
      <c r="S137" s="21">
        <f t="shared" si="39"/>
        <v>-3.5650162317137184</v>
      </c>
      <c r="T137" s="21">
        <f t="shared" si="40"/>
        <v>353.64262216906843</v>
      </c>
    </row>
    <row r="138" spans="2:20" x14ac:dyDescent="0.25">
      <c r="B138" s="22">
        <f t="shared" si="28"/>
        <v>77</v>
      </c>
      <c r="C138" s="22">
        <f t="shared" si="29"/>
        <v>17.450000000000003</v>
      </c>
      <c r="D138" s="91">
        <v>220.74600000000001</v>
      </c>
      <c r="E138" s="22">
        <v>2.7922726102338202E-2</v>
      </c>
      <c r="F138" s="22">
        <f t="shared" si="30"/>
        <v>0.97504974724911808</v>
      </c>
      <c r="G138" s="92">
        <v>1.7428399999999999</v>
      </c>
      <c r="H138" s="91">
        <v>0.32528499999999999</v>
      </c>
      <c r="I138" s="22">
        <f t="shared" si="31"/>
        <v>0.364867</v>
      </c>
      <c r="J138" s="90">
        <f t="shared" ref="J138" si="56">J137</f>
        <v>0.364867</v>
      </c>
      <c r="K138" s="67">
        <f t="shared" ref="K138" si="57">I138-J138</f>
        <v>0</v>
      </c>
      <c r="L138" s="92">
        <v>1153.3399999999999</v>
      </c>
      <c r="M138" s="91">
        <v>188.80699999999999</v>
      </c>
      <c r="N138" s="93">
        <v>4.3812799999999999E-2</v>
      </c>
      <c r="O138" s="91">
        <v>59.6068</v>
      </c>
      <c r="P138" s="21">
        <f t="shared" si="33"/>
        <v>1.5299243852375446</v>
      </c>
      <c r="Q138" s="22">
        <f t="shared" ref="Q138" si="58">(P138+P137)/2</f>
        <v>1.6594993073829802</v>
      </c>
      <c r="R138" s="21">
        <f t="shared" si="38"/>
        <v>-0.60259139341069901</v>
      </c>
      <c r="S138" s="21">
        <f t="shared" si="39"/>
        <v>-4.1676076251244174</v>
      </c>
      <c r="T138" s="21">
        <f t="shared" si="40"/>
        <v>326.09358984950029</v>
      </c>
    </row>
    <row r="139" spans="2:20" x14ac:dyDescent="0.25">
      <c r="B139" s="22">
        <f t="shared" si="28"/>
        <v>78</v>
      </c>
      <c r="C139" s="22">
        <f t="shared" si="29"/>
        <v>16.450000000000003</v>
      </c>
      <c r="D139" s="91">
        <v>217.696</v>
      </c>
      <c r="E139" s="22">
        <v>3.0915053339155188E-2</v>
      </c>
      <c r="F139" s="22">
        <f t="shared" si="30"/>
        <v>0.97868896239736869</v>
      </c>
      <c r="G139" s="92">
        <v>1.7475700000000001</v>
      </c>
      <c r="H139" s="91">
        <v>0.32075700000000001</v>
      </c>
      <c r="I139" s="22">
        <f t="shared" si="31"/>
        <v>0.364867</v>
      </c>
      <c r="J139" s="90">
        <f t="shared" ref="J139" si="59">J138</f>
        <v>0.364867</v>
      </c>
      <c r="K139" s="67">
        <f t="shared" ref="K139" si="60">I139-J139</f>
        <v>0</v>
      </c>
      <c r="L139" s="92">
        <v>1152.2</v>
      </c>
      <c r="M139" s="91">
        <v>185.73</v>
      </c>
      <c r="N139" s="93">
        <v>4.14601E-2</v>
      </c>
      <c r="O139" s="91">
        <v>59.684600000000003</v>
      </c>
      <c r="P139" s="21">
        <f t="shared" si="33"/>
        <v>1.3125172971479</v>
      </c>
      <c r="Q139" s="22">
        <f t="shared" ref="Q139" si="61">(P139+P138)/2</f>
        <v>1.4212208411927223</v>
      </c>
      <c r="R139" s="21">
        <f t="shared" si="38"/>
        <v>-0.70362041634625638</v>
      </c>
      <c r="S139" s="21">
        <f t="shared" si="39"/>
        <v>-4.8712280414706735</v>
      </c>
      <c r="T139" s="21">
        <f t="shared" si="40"/>
        <v>301.92743142167404</v>
      </c>
    </row>
    <row r="140" spans="2:20" x14ac:dyDescent="0.25">
      <c r="B140" s="22">
        <f t="shared" si="28"/>
        <v>79</v>
      </c>
      <c r="C140" s="22">
        <f t="shared" si="29"/>
        <v>15.450000000000003</v>
      </c>
      <c r="D140" s="91">
        <v>214.488</v>
      </c>
      <c r="E140" s="22">
        <v>3.4032106049363187E-2</v>
      </c>
      <c r="F140" s="22">
        <f t="shared" si="30"/>
        <v>0.98176994544446283</v>
      </c>
      <c r="G140" s="92">
        <v>1.7525900000000001</v>
      </c>
      <c r="H140" s="91">
        <v>0.31597599999999998</v>
      </c>
      <c r="I140" s="22">
        <f t="shared" si="31"/>
        <v>0.36486699999999983</v>
      </c>
      <c r="J140" s="90">
        <f t="shared" ref="J140" si="62">J139</f>
        <v>0.364867</v>
      </c>
      <c r="K140" s="67">
        <f t="shared" ref="K140" si="63">I140-J140</f>
        <v>0</v>
      </c>
      <c r="L140" s="92">
        <v>1151</v>
      </c>
      <c r="M140" s="91">
        <v>182.49600000000001</v>
      </c>
      <c r="N140" s="93">
        <v>3.9098099999999997E-2</v>
      </c>
      <c r="O140" s="91">
        <v>59.765599999999999</v>
      </c>
      <c r="P140" s="21">
        <f t="shared" si="33"/>
        <v>1.1279154880483944</v>
      </c>
      <c r="Q140" s="22">
        <f t="shared" ref="Q140" si="64">(P140+P139)/2</f>
        <v>1.2202163925981471</v>
      </c>
      <c r="R140" s="21">
        <f t="shared" si="38"/>
        <v>-0.81952677087934289</v>
      </c>
      <c r="S140" s="21">
        <f t="shared" si="39"/>
        <v>-5.6907548123500167</v>
      </c>
      <c r="T140" s="21">
        <f t="shared" si="40"/>
        <v>280.18415189741921</v>
      </c>
    </row>
    <row r="141" spans="2:20" x14ac:dyDescent="0.25">
      <c r="B141" s="22">
        <f t="shared" si="28"/>
        <v>80</v>
      </c>
      <c r="C141" s="22">
        <v>14.7</v>
      </c>
      <c r="D141" s="91">
        <v>211.96799999999999</v>
      </c>
      <c r="E141" s="22">
        <v>3.646072767755755E-2</v>
      </c>
      <c r="F141" s="22">
        <f t="shared" si="30"/>
        <v>0.98378274858907666</v>
      </c>
      <c r="G141" s="92">
        <v>1.75658</v>
      </c>
      <c r="H141" s="91">
        <v>0.31220399999999998</v>
      </c>
      <c r="I141" s="22">
        <f t="shared" si="31"/>
        <v>0.36486699999999983</v>
      </c>
      <c r="J141" s="90">
        <f t="shared" ref="J141" si="65">J140</f>
        <v>0.364867</v>
      </c>
      <c r="K141" s="67">
        <f t="shared" ref="K141" si="66">I141-J141</f>
        <v>0</v>
      </c>
      <c r="L141" s="92">
        <v>1150.06</v>
      </c>
      <c r="M141" s="91">
        <v>179.95599999999999</v>
      </c>
      <c r="N141" s="93">
        <v>3.7320100000000002E-2</v>
      </c>
      <c r="O141" s="91">
        <v>59.828600000000002</v>
      </c>
      <c r="P141" s="21">
        <f t="shared" si="33"/>
        <v>1.0069703183191874</v>
      </c>
      <c r="Q141" s="22">
        <f t="shared" ref="Q141" si="67">(P141+P140)/2</f>
        <v>1.0674429031837909</v>
      </c>
      <c r="R141" s="21">
        <f t="shared" si="38"/>
        <v>-0.70261369274462226</v>
      </c>
      <c r="S141" s="21">
        <f t="shared" si="39"/>
        <v>-6.3933685050946387</v>
      </c>
      <c r="T141" s="21">
        <f t="shared" si="40"/>
        <v>259.79530434277518</v>
      </c>
    </row>
    <row r="142" spans="2:20" x14ac:dyDescent="0.25">
      <c r="B142" s="85"/>
      <c r="C142" s="85"/>
      <c r="D142" s="88"/>
    </row>
    <row r="143" spans="2:20" ht="13" x14ac:dyDescent="0.3">
      <c r="B143" s="13" t="s">
        <v>205</v>
      </c>
      <c r="C143" s="85"/>
      <c r="D143" s="88"/>
      <c r="E143" s="85"/>
      <c r="F143" s="85"/>
      <c r="G143" s="85"/>
      <c r="H143" s="85"/>
      <c r="I143" s="85"/>
      <c r="J143" s="85"/>
      <c r="K143" s="85"/>
      <c r="L143" s="85"/>
      <c r="M143" s="85"/>
      <c r="O143" s="85"/>
    </row>
    <row r="144" spans="2:20" x14ac:dyDescent="0.25">
      <c r="B144" s="85"/>
      <c r="C144" s="85"/>
      <c r="L144" s="85"/>
    </row>
    <row r="149" spans="2:6" x14ac:dyDescent="0.25">
      <c r="B149" s="3" t="s">
        <v>204</v>
      </c>
      <c r="C149" s="80" t="s">
        <v>0</v>
      </c>
      <c r="D149" s="86">
        <f>MAX(T62:T141)</f>
        <v>5954.1995600564151</v>
      </c>
      <c r="E149" s="86" t="s">
        <v>24</v>
      </c>
    </row>
    <row r="150" spans="2:6" x14ac:dyDescent="0.25">
      <c r="B150" s="3" t="s">
        <v>203</v>
      </c>
      <c r="C150" s="80" t="s">
        <v>0</v>
      </c>
      <c r="D150" s="27">
        <v>119362</v>
      </c>
      <c r="E150" s="80" t="s">
        <v>9</v>
      </c>
    </row>
    <row r="151" spans="2:6" x14ac:dyDescent="0.25">
      <c r="B151" s="3" t="s">
        <v>41</v>
      </c>
      <c r="C151" s="80" t="s">
        <v>0</v>
      </c>
      <c r="D151" s="86">
        <v>0.65</v>
      </c>
      <c r="E151" s="86"/>
      <c r="F151" s="86" t="s">
        <v>206</v>
      </c>
    </row>
    <row r="152" spans="2:6" x14ac:dyDescent="0.25">
      <c r="B152" s="10" t="s">
        <v>42</v>
      </c>
      <c r="C152" s="85" t="s">
        <v>0</v>
      </c>
      <c r="D152" s="96">
        <v>1</v>
      </c>
      <c r="E152" s="36"/>
      <c r="F152" s="36"/>
    </row>
    <row r="153" spans="2:6" x14ac:dyDescent="0.25">
      <c r="B153" s="3" t="s">
        <v>157</v>
      </c>
      <c r="C153" s="85" t="s">
        <v>0</v>
      </c>
      <c r="D153" s="86">
        <v>1</v>
      </c>
    </row>
    <row r="154" spans="2:6" ht="13" x14ac:dyDescent="0.3">
      <c r="B154" s="20" t="s">
        <v>74</v>
      </c>
      <c r="C154" s="85" t="s">
        <v>0</v>
      </c>
      <c r="D154" s="86">
        <v>1</v>
      </c>
    </row>
    <row r="155" spans="2:6" ht="13.5" thickBot="1" x14ac:dyDescent="0.35">
      <c r="B155" s="20"/>
      <c r="D155" s="86"/>
    </row>
    <row r="156" spans="2:6" ht="13.5" thickBot="1" x14ac:dyDescent="0.35">
      <c r="B156" s="97" t="s">
        <v>13</v>
      </c>
      <c r="C156" s="98" t="s">
        <v>0</v>
      </c>
      <c r="D156" s="100">
        <f>0.04*D150/(D151*D152*D153*D154*D149)</f>
        <v>1.2336425361739556</v>
      </c>
      <c r="E156" s="99" t="s">
        <v>38</v>
      </c>
    </row>
    <row r="159" spans="2:6" ht="13" x14ac:dyDescent="0.3">
      <c r="B159" s="2" t="s">
        <v>209</v>
      </c>
    </row>
    <row r="160" spans="2:6" ht="13" x14ac:dyDescent="0.3">
      <c r="B160" s="20"/>
    </row>
    <row r="161" spans="1:9" x14ac:dyDescent="0.25">
      <c r="B161" s="3" t="s">
        <v>44</v>
      </c>
      <c r="C161" s="6" t="s">
        <v>0</v>
      </c>
      <c r="D161" s="1" t="s">
        <v>50</v>
      </c>
      <c r="E161" s="1"/>
      <c r="F161" s="1"/>
    </row>
    <row r="162" spans="1:9" x14ac:dyDescent="0.25">
      <c r="B162" s="3" t="s">
        <v>43</v>
      </c>
      <c r="C162" s="6" t="s">
        <v>0</v>
      </c>
      <c r="D162" s="86">
        <f>VLOOKUP(D161,'Orifice Sizes'!B5:'Orifice Sizes'!C18,2,FALSE)</f>
        <v>1.2869999999999999</v>
      </c>
      <c r="E162" s="1" t="s">
        <v>71</v>
      </c>
      <c r="F162" s="1"/>
      <c r="H162" s="80">
        <f>D149*3600</f>
        <v>21435118.416203093</v>
      </c>
      <c r="I162" s="80" t="s">
        <v>226</v>
      </c>
    </row>
    <row r="163" spans="1:9" x14ac:dyDescent="0.25">
      <c r="B163" s="3" t="s">
        <v>73</v>
      </c>
      <c r="C163" s="6" t="s">
        <v>0</v>
      </c>
      <c r="D163" s="117" t="str">
        <f>IF(D162&gt;=D156,"Ok","Change Orifice Size")</f>
        <v>Ok</v>
      </c>
      <c r="E163" s="117"/>
      <c r="F163" s="1"/>
      <c r="H163" s="80">
        <f>H162/144</f>
        <v>148854.98900141037</v>
      </c>
      <c r="I163" s="80" t="s">
        <v>110</v>
      </c>
    </row>
    <row r="164" spans="1:9" x14ac:dyDescent="0.25">
      <c r="B164" s="3" t="s">
        <v>72</v>
      </c>
      <c r="C164" s="6" t="s">
        <v>0</v>
      </c>
      <c r="D164" s="8" t="str">
        <f>VLOOKUP(D161,'Orifice Sizes'!B5:'Orifice Sizes'!F18,3,FALSE)</f>
        <v>2 X 3</v>
      </c>
      <c r="E164" s="6" t="str">
        <f>VLOOKUP(D161,'Orifice Sizes'!B5:'Orifice Sizes'!F18,4,FALSE)</f>
        <v>2.5 X 4</v>
      </c>
      <c r="F164" s="101" t="str">
        <f>VLOOKUP(D161,'Orifice Sizes'!B5:'Orifice Sizes'!F18,5,FALSE)</f>
        <v>3 X 4</v>
      </c>
      <c r="H164" s="80">
        <f>H163*D162</f>
        <v>191576.37084481513</v>
      </c>
      <c r="I164" s="80" t="s">
        <v>9</v>
      </c>
    </row>
    <row r="165" spans="1:9" x14ac:dyDescent="0.25">
      <c r="B165" s="3"/>
      <c r="H165" s="80">
        <f>H164*0.65</f>
        <v>124524.64104912984</v>
      </c>
      <c r="I165" s="80" t="s">
        <v>9</v>
      </c>
    </row>
    <row r="166" spans="1:9" ht="13" thickBot="1" x14ac:dyDescent="0.3">
      <c r="B166" s="3"/>
    </row>
    <row r="167" spans="1:9" ht="13" thickBot="1" x14ac:dyDescent="0.3">
      <c r="B167" s="15" t="s">
        <v>207</v>
      </c>
      <c r="C167" s="98" t="s">
        <v>0</v>
      </c>
      <c r="D167" s="98">
        <v>3</v>
      </c>
      <c r="E167" s="98" t="str">
        <f>D161</f>
        <v>J</v>
      </c>
      <c r="F167" s="99">
        <v>4</v>
      </c>
    </row>
    <row r="168" spans="1:9" x14ac:dyDescent="0.25">
      <c r="B168" s="3"/>
    </row>
    <row r="170" spans="1:9" ht="13" x14ac:dyDescent="0.3">
      <c r="B170" s="13" t="s">
        <v>80</v>
      </c>
    </row>
    <row r="171" spans="1:9" ht="13" x14ac:dyDescent="0.3">
      <c r="A171" s="2"/>
      <c r="B171" s="2"/>
    </row>
    <row r="175" spans="1:9" x14ac:dyDescent="0.25">
      <c r="B175" s="1" t="s">
        <v>210</v>
      </c>
      <c r="C175" s="80" t="s">
        <v>0</v>
      </c>
      <c r="D175" s="86">
        <f>D162</f>
        <v>1.2869999999999999</v>
      </c>
      <c r="E175" s="86" t="s">
        <v>71</v>
      </c>
    </row>
    <row r="176" spans="1:9" x14ac:dyDescent="0.25">
      <c r="B176" s="3" t="s">
        <v>41</v>
      </c>
      <c r="C176" s="80" t="s">
        <v>0</v>
      </c>
      <c r="D176" s="11">
        <f>D151</f>
        <v>0.65</v>
      </c>
      <c r="E176" s="86"/>
    </row>
    <row r="177" spans="2:9" x14ac:dyDescent="0.25">
      <c r="B177" s="3" t="s">
        <v>42</v>
      </c>
      <c r="C177" s="85" t="s">
        <v>0</v>
      </c>
      <c r="D177" s="11">
        <f t="shared" ref="D177:D179" si="68">D152</f>
        <v>1</v>
      </c>
      <c r="E177" s="86"/>
    </row>
    <row r="178" spans="2:9" x14ac:dyDescent="0.25">
      <c r="B178" s="3" t="s">
        <v>157</v>
      </c>
      <c r="C178" s="85" t="s">
        <v>0</v>
      </c>
      <c r="D178" s="11">
        <f t="shared" si="68"/>
        <v>1</v>
      </c>
      <c r="E178" s="86"/>
    </row>
    <row r="179" spans="2:9" x14ac:dyDescent="0.25">
      <c r="B179" s="3" t="s">
        <v>74</v>
      </c>
      <c r="C179" s="85" t="s">
        <v>0</v>
      </c>
      <c r="D179" s="11">
        <f t="shared" si="68"/>
        <v>1</v>
      </c>
      <c r="E179" s="86"/>
    </row>
    <row r="180" spans="2:9" x14ac:dyDescent="0.25">
      <c r="B180" s="3" t="s">
        <v>10</v>
      </c>
      <c r="C180" s="85" t="s">
        <v>0</v>
      </c>
      <c r="D180" s="86">
        <f>D149</f>
        <v>5954.1995600564151</v>
      </c>
      <c r="E180" s="86" t="s">
        <v>24</v>
      </c>
    </row>
    <row r="181" spans="2:9" ht="13" thickBot="1" x14ac:dyDescent="0.3">
      <c r="B181" s="3"/>
    </row>
    <row r="182" spans="2:9" ht="13" thickBot="1" x14ac:dyDescent="0.3">
      <c r="B182" s="15" t="s">
        <v>211</v>
      </c>
      <c r="C182" s="98" t="s">
        <v>0</v>
      </c>
      <c r="D182" s="107">
        <f>D175*D176*D177*D178*D179*D180/0.04</f>
        <v>124524.64104912986</v>
      </c>
      <c r="E182" s="103" t="s">
        <v>9</v>
      </c>
    </row>
    <row r="183" spans="2:9" x14ac:dyDescent="0.25">
      <c r="B183" s="3"/>
      <c r="D183" s="17"/>
    </row>
    <row r="185" spans="2:9" x14ac:dyDescent="0.25">
      <c r="B185" s="3"/>
      <c r="C185" s="6"/>
    </row>
    <row r="186" spans="2:9" x14ac:dyDescent="0.25">
      <c r="B186" s="3"/>
      <c r="C186" s="6"/>
    </row>
    <row r="187" spans="2:9" x14ac:dyDescent="0.25">
      <c r="B187" s="3"/>
      <c r="C187" s="6"/>
      <c r="D187" s="116"/>
      <c r="E187" s="116"/>
    </row>
    <row r="188" spans="2:9" x14ac:dyDescent="0.25">
      <c r="B188" s="3"/>
      <c r="C188" s="6"/>
      <c r="D188" s="6"/>
      <c r="E188" s="6"/>
      <c r="F188" s="6"/>
      <c r="I188" s="6"/>
    </row>
    <row r="189" spans="2:9" x14ac:dyDescent="0.25">
      <c r="C189" s="6"/>
    </row>
    <row r="191" spans="2:9" ht="13" x14ac:dyDescent="0.3">
      <c r="B191" s="2"/>
    </row>
    <row r="197" spans="2:6" x14ac:dyDescent="0.25">
      <c r="B197" s="3"/>
      <c r="D197" s="17"/>
    </row>
    <row r="198" spans="2:6" x14ac:dyDescent="0.25">
      <c r="B198" s="3"/>
    </row>
    <row r="199" spans="2:6" x14ac:dyDescent="0.25">
      <c r="B199" s="3"/>
    </row>
    <row r="200" spans="2:6" x14ac:dyDescent="0.25">
      <c r="B200" s="3"/>
    </row>
    <row r="201" spans="2:6" x14ac:dyDescent="0.25">
      <c r="B201" s="3"/>
    </row>
    <row r="204" spans="2:6" x14ac:dyDescent="0.25">
      <c r="B204" s="26"/>
      <c r="C204" s="78"/>
      <c r="D204" s="78"/>
      <c r="E204" s="78"/>
      <c r="F204" s="78"/>
    </row>
    <row r="205" spans="2:6" x14ac:dyDescent="0.25">
      <c r="B205" s="26"/>
      <c r="C205" s="78"/>
      <c r="D205" s="78"/>
      <c r="E205" s="78"/>
      <c r="F205" s="78"/>
    </row>
  </sheetData>
  <mergeCells count="9">
    <mergeCell ref="C57:C58"/>
    <mergeCell ref="B57:B58"/>
    <mergeCell ref="K57:K58"/>
    <mergeCell ref="R57:R58"/>
    <mergeCell ref="S57:S58"/>
    <mergeCell ref="T57:T58"/>
    <mergeCell ref="D187:E187"/>
    <mergeCell ref="D163:E163"/>
    <mergeCell ref="D57:D58"/>
  </mergeCells>
  <conditionalFormatting sqref="D187:G187">
    <cfRule type="cellIs" dxfId="3" priority="3" operator="equal">
      <formula>"Change Orifice Size"</formula>
    </cfRule>
    <cfRule type="cellIs" dxfId="2" priority="4" operator="equal">
      <formula>"OK"</formula>
    </cfRule>
  </conditionalFormatting>
  <conditionalFormatting sqref="D163:E163">
    <cfRule type="cellIs" dxfId="1" priority="1" operator="equal">
      <formula>"Change Orifice Size"</formula>
    </cfRule>
    <cfRule type="cellIs" dxfId="0" priority="2" operator="equal">
      <formula>"OK"</formula>
    </cfRule>
  </conditionalFormatting>
  <pageMargins left="0.7" right="0.7" top="0.75" bottom="0.75" header="0.3" footer="0.3"/>
  <pageSetup scale="69" orientation="landscape" r:id="rId1"/>
  <rowBreaks count="3" manualBreakCount="3">
    <brk id="49" max="19" man="1"/>
    <brk id="103" max="19" man="1"/>
    <brk id="157" max="1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BAC1E6-AD4C-4D98-81AB-1B72CB79179A}">
          <x14:formula1>
            <xm:f>'Orifice Sizes'!$B$5:$B$18</xm:f>
          </x14:formula1>
          <xm:sqref>D185 D161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66364-A5FF-46EA-BFD8-A5896BC65B29}">
  <sheetPr codeName="Sheet11"/>
  <dimension ref="B3:F18"/>
  <sheetViews>
    <sheetView workbookViewId="0">
      <selection activeCell="H15" sqref="H15"/>
    </sheetView>
  </sheetViews>
  <sheetFormatPr defaultRowHeight="12.5" x14ac:dyDescent="0.25"/>
  <cols>
    <col min="1" max="16384" width="8.7265625" style="1"/>
  </cols>
  <sheetData>
    <row r="3" spans="2:6" ht="14.5" customHeight="1" x14ac:dyDescent="0.3">
      <c r="B3" s="113" t="s">
        <v>45</v>
      </c>
      <c r="C3" s="113" t="s">
        <v>46</v>
      </c>
      <c r="D3" s="118" t="s">
        <v>59</v>
      </c>
      <c r="E3" s="118"/>
      <c r="F3" s="118"/>
    </row>
    <row r="4" spans="2:6" ht="23" customHeight="1" x14ac:dyDescent="0.25">
      <c r="B4" s="113"/>
      <c r="C4" s="113"/>
      <c r="D4" s="37" t="s">
        <v>56</v>
      </c>
      <c r="E4" s="37" t="s">
        <v>57</v>
      </c>
      <c r="F4" s="37" t="s">
        <v>58</v>
      </c>
    </row>
    <row r="5" spans="2:6" x14ac:dyDescent="0.25">
      <c r="B5" s="12" t="s">
        <v>21</v>
      </c>
      <c r="C5" s="12">
        <v>0.11</v>
      </c>
      <c r="D5" s="22" t="s">
        <v>60</v>
      </c>
      <c r="E5" s="22" t="s">
        <v>61</v>
      </c>
      <c r="F5" s="22" t="s">
        <v>62</v>
      </c>
    </row>
    <row r="6" spans="2:6" x14ac:dyDescent="0.25">
      <c r="B6" s="12" t="s">
        <v>47</v>
      </c>
      <c r="C6" s="12">
        <v>0.19600000000000001</v>
      </c>
      <c r="D6" s="22" t="s">
        <v>60</v>
      </c>
      <c r="E6" s="22" t="s">
        <v>61</v>
      </c>
      <c r="F6" s="22" t="s">
        <v>62</v>
      </c>
    </row>
    <row r="7" spans="2:6" x14ac:dyDescent="0.25">
      <c r="B7" s="12" t="s">
        <v>48</v>
      </c>
      <c r="C7" s="12">
        <v>0.307</v>
      </c>
      <c r="D7" s="22" t="s">
        <v>60</v>
      </c>
      <c r="E7" s="22" t="s">
        <v>61</v>
      </c>
      <c r="F7" s="22" t="s">
        <v>62</v>
      </c>
    </row>
    <row r="8" spans="2:6" x14ac:dyDescent="0.25">
      <c r="B8" s="12" t="s">
        <v>10</v>
      </c>
      <c r="C8" s="12">
        <v>0.503</v>
      </c>
      <c r="D8" s="22" t="s">
        <v>62</v>
      </c>
      <c r="E8" s="22" t="s">
        <v>63</v>
      </c>
      <c r="F8" s="22" t="s">
        <v>64</v>
      </c>
    </row>
    <row r="9" spans="2:6" x14ac:dyDescent="0.25">
      <c r="B9" s="12" t="s">
        <v>49</v>
      </c>
      <c r="C9" s="12">
        <v>0.78500000000000003</v>
      </c>
      <c r="D9" s="22" t="s">
        <v>63</v>
      </c>
      <c r="E9" s="22" t="s">
        <v>64</v>
      </c>
      <c r="F9" s="22" t="s">
        <v>15</v>
      </c>
    </row>
    <row r="10" spans="2:6" x14ac:dyDescent="0.25">
      <c r="B10" s="12" t="s">
        <v>50</v>
      </c>
      <c r="C10" s="12">
        <v>1.2869999999999999</v>
      </c>
      <c r="D10" s="22" t="s">
        <v>64</v>
      </c>
      <c r="E10" s="22" t="s">
        <v>65</v>
      </c>
      <c r="F10" s="22" t="s">
        <v>66</v>
      </c>
    </row>
    <row r="11" spans="2:6" x14ac:dyDescent="0.25">
      <c r="B11" s="12" t="s">
        <v>51</v>
      </c>
      <c r="C11" s="12">
        <v>1.8380000000000001</v>
      </c>
      <c r="D11" s="22" t="s">
        <v>66</v>
      </c>
      <c r="E11" s="22" t="s">
        <v>15</v>
      </c>
      <c r="F11" s="22" t="s">
        <v>15</v>
      </c>
    </row>
    <row r="12" spans="2:6" x14ac:dyDescent="0.25">
      <c r="B12" s="12" t="s">
        <v>52</v>
      </c>
      <c r="C12" s="12">
        <v>2.8530000000000002</v>
      </c>
      <c r="D12" s="22" t="s">
        <v>66</v>
      </c>
      <c r="E12" s="22" t="s">
        <v>67</v>
      </c>
      <c r="F12" s="22" t="s">
        <v>15</v>
      </c>
    </row>
    <row r="13" spans="2:6" x14ac:dyDescent="0.25">
      <c r="B13" s="12" t="s">
        <v>53</v>
      </c>
      <c r="C13" s="12">
        <v>3.6</v>
      </c>
      <c r="D13" s="22" t="s">
        <v>67</v>
      </c>
      <c r="E13" s="22" t="s">
        <v>15</v>
      </c>
      <c r="F13" s="22" t="s">
        <v>15</v>
      </c>
    </row>
    <row r="14" spans="2:6" x14ac:dyDescent="0.25">
      <c r="B14" s="12" t="s">
        <v>54</v>
      </c>
      <c r="C14" s="12">
        <v>4.34</v>
      </c>
      <c r="D14" s="22" t="s">
        <v>67</v>
      </c>
      <c r="E14" s="22" t="s">
        <v>15</v>
      </c>
      <c r="F14" s="22" t="s">
        <v>15</v>
      </c>
    </row>
    <row r="15" spans="2:6" x14ac:dyDescent="0.25">
      <c r="B15" s="12" t="s">
        <v>55</v>
      </c>
      <c r="C15" s="12">
        <v>6.38</v>
      </c>
      <c r="D15" s="22" t="s">
        <v>67</v>
      </c>
      <c r="E15" s="22" t="s">
        <v>15</v>
      </c>
      <c r="F15" s="22" t="s">
        <v>15</v>
      </c>
    </row>
    <row r="16" spans="2:6" x14ac:dyDescent="0.25">
      <c r="B16" s="12" t="s">
        <v>12</v>
      </c>
      <c r="C16" s="12">
        <v>11.05</v>
      </c>
      <c r="D16" s="22" t="s">
        <v>68</v>
      </c>
      <c r="E16" s="22" t="s">
        <v>15</v>
      </c>
      <c r="F16" s="22" t="s">
        <v>15</v>
      </c>
    </row>
    <row r="17" spans="2:6" x14ac:dyDescent="0.25">
      <c r="B17" s="12" t="s">
        <v>14</v>
      </c>
      <c r="C17" s="12">
        <v>16</v>
      </c>
      <c r="D17" s="22" t="s">
        <v>68</v>
      </c>
      <c r="E17" s="22" t="s">
        <v>69</v>
      </c>
      <c r="F17" s="22" t="s">
        <v>15</v>
      </c>
    </row>
    <row r="18" spans="2:6" x14ac:dyDescent="0.25">
      <c r="B18" s="12" t="s">
        <v>7</v>
      </c>
      <c r="C18" s="12">
        <v>26</v>
      </c>
      <c r="D18" s="22" t="s">
        <v>70</v>
      </c>
      <c r="E18" s="22" t="s">
        <v>15</v>
      </c>
      <c r="F18" s="22" t="s">
        <v>15</v>
      </c>
    </row>
  </sheetData>
  <mergeCells count="3">
    <mergeCell ref="D3:F3"/>
    <mergeCell ref="B3:B4"/>
    <mergeCell ref="C3:C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G x I T 4 / G u a S o A A A A + A A A A B I A H A B D b 2 5 m a W c v U G F j a 2 F n Z S 5 4 b W w g o h g A K K A U A A A A A A A A A A A A A A A A A A A A A A A A A A A A h Y 9 B D o I w F E S v Q r q n L S B K z K c s 3 E p i Q j R u m 1 K h E Y q h x X I 3 F x 7 J K 0 i i q D u X M 3 m T v H n c 7 p C N b e N d Z W 9 U p 1 M U Y I o 8 q U V X K l 2 l a L A n P 0 E Z g x 0 X Z 1 5 J b 4 K 1 W Y 9 G p a i 2 9 r I m x D m H X Y S 7 v i I h p Q E 5 5 t t C 1 L L l v t L G c i 0 k + q z K / y v E 4 P C S Y S F e R T i O k y V e J A G Q u Y Z c 6 S 8 S T s a Y A v k p Y T M 0 d u g l k 9 r f F 0 D m C O T 9 g j 0 B U E s D B B Q A A g A I A L B s S E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w b E h P K I p H u A 4 A A A A R A A A A E w A c A E Z v c m 1 1 b G F z L 1 N l Y 3 R p b 2 4 x L m 0 g o h g A K K A U A A A A A A A A A A A A A A A A A A A A A A A A A A A A K 0 5 N L s n M z 1 M I h t C G 1 g B Q S w E C L Q A U A A I A C A C w b E h P j 8 a 5 p K g A A A D 4 A A A A E g A A A A A A A A A A A A A A A A A A A A A A Q 2 9 u Z m l n L 1 B h Y 2 t h Z 2 U u e G 1 s U E s B A i 0 A F A A C A A g A s G x I T w / K 6 a u k A A A A 6 Q A A A B M A A A A A A A A A A A A A A A A A 9 A A A A F t D b 2 5 0 Z W 5 0 X 1 R 5 c G V z X S 5 4 b W x Q S w E C L Q A U A A I A C A C w b E h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d x L s / l / x U q 6 V w I + b p F S x A A A A A A C A A A A A A A D Z g A A w A A A A B A A A A D 8 p y k b U r D v h q 6 F p 8 x O t 7 p a A A A A A A S A A A C g A A A A E A A A A J v j v i o I m K g I + M s j M Z D m l U p Q A A A A m 7 e Y d u 1 H o j S o 3 E E A 5 R X j I 8 S K c N D 3 c x n v / 0 1 5 S 3 3 0 c w i P G w Q s G y M U H R K P e 1 W f l Z D e w k V t M 7 e U v z T S 7 u Z F d v p E D R R q j b z B G V S / w r i A L c 7 b 8 n Y U A A A A P H + d J 0 a h w D w z s l b 3 V G l T f s W f w c c = < / D a t a M a s h u p > 
</file>

<file path=customXml/itemProps1.xml><?xml version="1.0" encoding="utf-8"?>
<ds:datastoreItem xmlns:ds="http://schemas.openxmlformats.org/officeDocument/2006/customXml" ds:itemID="{92DD0661-A443-4F54-B03A-F4EAD45C5BF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PSV Outlet DP</vt:lpstr>
      <vt:lpstr>PSV Sizing-HEM Direct Int Meth</vt:lpstr>
      <vt:lpstr>Orifice Sizes</vt:lpstr>
      <vt:lpstr>'PSV Outlet DP'!Print_Area</vt:lpstr>
      <vt:lpstr>'PSV Sizing-HEM Direct Int Meth'!Print_Area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Pavan Padmarao</dc:creator>
  <cp:lastModifiedBy>Pavan Padmarao</cp:lastModifiedBy>
  <cp:lastPrinted>2019-10-08T13:41:03Z</cp:lastPrinted>
  <dcterms:created xsi:type="dcterms:W3CDTF">2019-09-20T17:20:10Z</dcterms:created>
  <dcterms:modified xsi:type="dcterms:W3CDTF">2021-11-11T05:15:27Z</dcterms:modified>
</cp:coreProperties>
</file>